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showInkAnnotation="0" codeName="ThisWorkbook" defaultThemeVersion="124226"/>
  <mc:AlternateContent xmlns:mc="http://schemas.openxmlformats.org/markup-compatibility/2006">
    <mc:Choice Requires="x15">
      <x15ac:absPath xmlns:x15ac="http://schemas.microsoft.com/office/spreadsheetml/2010/11/ac" url="C:\Users\Massimo.Solimbergo\Desktop\ONERI\BOTTICINO-OK-2021\"/>
    </mc:Choice>
  </mc:AlternateContent>
  <xr:revisionPtr revIDLastSave="0" documentId="13_ncr:1_{9A06A3B8-00BD-4138-860F-53FA1920E959}" xr6:coauthVersionLast="45" xr6:coauthVersionMax="45" xr10:uidLastSave="{00000000-0000-0000-0000-000000000000}"/>
  <bookViews>
    <workbookView xWindow="-120" yWindow="-120" windowWidth="51840" windowHeight="21240" tabRatio="727" xr2:uid="{00000000-000D-0000-FFFF-FFFF00000000}"/>
  </bookViews>
  <sheets>
    <sheet name="Procedura guidata" sheetId="27" r:id="rId1"/>
    <sheet name="Riepilogo generale" sheetId="13" r:id="rId2"/>
    <sheet name="Riepilogo oneri e costi" sheetId="2" r:id="rId3"/>
    <sheet name="Descrizione dell'intervento" sheetId="1" r:id="rId4"/>
    <sheet name="Calcolo superfici edificio" sheetId="29" r:id="rId5"/>
    <sheet name="Determinazione classe" sheetId="19" r:id="rId6"/>
    <sheet name="Costo Costruzione" sheetId="20" r:id="rId7"/>
    <sheet name="Costo costruzione statofatto" sheetId="17" r:id="rId8"/>
    <sheet name="Costo costruzione progetto" sheetId="7" r:id="rId9"/>
    <sheet name="Calcolo superficie parcheggio" sheetId="23" r:id="rId10"/>
    <sheet name="Parametri" sheetId="22" state="hidden" r:id="rId11"/>
    <sheet name="Rateizzazione" sheetId="28" state="hidden" r:id="rId12"/>
    <sheet name="Solo1" sheetId="12" state="hidden" r:id="rId13"/>
  </sheets>
  <definedNames>
    <definedName name="_xlnm.Print_Area" localSheetId="6">'Costo Costruzione'!$B$1:$T$42</definedName>
    <definedName name="_xlnm.Print_Area" localSheetId="8">'Costo costruzione progetto'!$B$1:$P$53</definedName>
    <definedName name="_xlnm.Print_Area" localSheetId="7">'Costo costruzione statofatto'!$A$1:$P$53</definedName>
    <definedName name="_xlnm.Print_Area" localSheetId="3">'Descrizione dell''intervento'!$B$1:$H$111</definedName>
    <definedName name="_xlnm.Print_Area" localSheetId="5">'Determinazione classe'!$A$1:$Q$42</definedName>
    <definedName name="_xlnm.Print_Area" localSheetId="1">'Riepilogo generale'!$B$2:$F$82</definedName>
    <definedName name="_xlnm.Print_Area" localSheetId="2">'Riepilogo oneri e costi'!$B$2:$R$193</definedName>
    <definedName name="Calcolo_sup_parcheggi_tot_volume_UIU">'Calcolo superficie parcheggio'!$C$4:$C$22</definedName>
    <definedName name="CalcOn_OneriSmaltRif">'Riepilogo oneri e costi'!$G$82</definedName>
    <definedName name="CalcOn_OneriUrbPrim">'Riepilogo oneri e costi'!$G$54</definedName>
    <definedName name="CalcOn_OneriUrbSec">'Riepilogo oneri e costi'!$G$72</definedName>
    <definedName name="CC_AltriCosti_DescMaggCostoCAreeAgr">'Riepilogo oneri e costi'!$B$188</definedName>
    <definedName name="CC_AltriCosti_DescMaggOnPrimRecSott">'Riepilogo oneri e costi'!#REF!</definedName>
    <definedName name="CC_AltriCosti_DescMaggOnRecSottF2Primaria">'Riepilogo oneri e costi'!#REF!</definedName>
    <definedName name="CC_AltriCosti_DescMaggOnRecSottF2Secondaria">'Riepilogo oneri e costi'!#REF!</definedName>
    <definedName name="CC_AltriCosti_DescMaggOnSecRecSott">'Riepilogo oneri e costi'!#REF!</definedName>
    <definedName name="CC_AltriCosti_Sanzione">'Riepilogo oneri e costi'!$P$185</definedName>
    <definedName name="CC_AltriCosti_SanzioneLabel">'Riepilogo oneri e costi'!$B$185</definedName>
    <definedName name="CC_AltriCosti_ValoreMaggCCRecSott">'Riepilogo oneri e costi'!$Q$167</definedName>
    <definedName name="CC_AltriCosti_ValoreMaggCostoCAreeAgr">'Riepilogo oneri e costi'!$Q$188</definedName>
    <definedName name="CC_AltriCosti_ValoreMaggOnPrimRecSott">'Riepilogo oneri e costi'!$Q$63</definedName>
    <definedName name="CC_AltriCosti_ValoreMaggOnRecSott">'Riepilogo oneri e costi'!$Q$73</definedName>
    <definedName name="CC_AltriCosti_ValoreMaggOnRecSottF2Primaria">'Riepilogo oneri e costi'!#REF!</definedName>
    <definedName name="CC_AltriCosti_ValoreMaggOnRecSottF2Secondaria">'Riepilogo oneri e costi'!#REF!</definedName>
    <definedName name="CC_AltriCosti_ValoreMaggOnSecRecSott">'Riepilogo oneri e costi'!#REF!</definedName>
    <definedName name="CC_CommercioTerziario">'Riepilogo oneri e costi'!$P$163</definedName>
    <definedName name="CC_Corrisposto">'Riepilogo oneri e costi'!$Q$170</definedName>
    <definedName name="cc_CostoCostRecSottProg">'Riepilogo oneri e costi'!$P$165</definedName>
    <definedName name="CC_lblPersonalizzazione1">'Riepilogo oneri e costi'!$B$40</definedName>
    <definedName name="CC_MaggConsumoSuolo">'Riepilogo oneri e costi'!$Q$186</definedName>
    <definedName name="Cc_Modalitacalcolo" localSheetId="7">'Costo costruzione statofatto'!$D$3</definedName>
    <definedName name="Cc_Modalitacalcolo">'Costo costruzione progetto'!$D$3</definedName>
    <definedName name="CC_Oblazione">'Riepilogo oneri e costi'!$P$184</definedName>
    <definedName name="CC_Oneri_Urb_Prim_Corrisposti">'Riepilogo oneri e costi'!$Q$67</definedName>
    <definedName name="CC_Oneri_Urb_Sec_Corrisposti">'Riepilogo oneri e costi'!$Q$77</definedName>
    <definedName name="Cc_OneriSmaltRifiutiRif">'Riepilogo oneri e costi'!$P$84</definedName>
    <definedName name="Cc_OneriUrbPrimariaRif">'Riepilogo oneri e costi'!$P$70</definedName>
    <definedName name="Cc_OneriUrbSecondariaRif">'Riepilogo oneri e costi'!$P$80</definedName>
    <definedName name="CC_OpereUrbPrimRealizzate">'Riepilogo oneri e costi'!$Q$68</definedName>
    <definedName name="CC_OpereUrbSecRealizzate">'Riepilogo oneri e costi'!$Q$78</definedName>
    <definedName name="CC_Residenziale">'Riepilogo oneri e costi'!$P$161</definedName>
    <definedName name="CC_RiduzioneDensificazione">'Riepilogo oneri e costi'!$Q$169</definedName>
    <definedName name="CC_RiduzioneDensificazione_StFatto_Prog">'Riepilogo oneri e costi'!$Q$177</definedName>
    <definedName name="CC_RiduzionePianoCasa">'Riepilogo oneri e costi'!$Q$168</definedName>
    <definedName name="CC_RiduzionePianoCasa_StFatto_Prog">'Riepilogo oneri e costi'!$Q$176</definedName>
    <definedName name="CC_SanzioneCostoCostruzione">'Riepilogo oneri e costi'!#REF!</definedName>
    <definedName name="CC_SanzioneCostoCostruzione_StFatto_Prog">'Riepilogo oneri e costi'!#REF!</definedName>
    <definedName name="CC_SanzioneOneriUrbPrim">'Riepilogo oneri e costi'!#REF!</definedName>
    <definedName name="CC_SanzioneOneriUrbSec">'Riepilogo oneri e costi'!#REF!</definedName>
    <definedName name="CC_SanzioneSmaltimentoRifiuti">'Riepilogo oneri e costi'!#REF!</definedName>
    <definedName name="CC_SmaltimRif_Corrisposti">'Riepilogo oneri e costi'!$Q$83</definedName>
    <definedName name="CC_StFatto_MaggConsumoSuolo">'Riepilogo oneri e costi'!#REF!</definedName>
    <definedName name="CC_UrbPrimScomputati">'Riepilogo oneri e costi'!$Q$69</definedName>
    <definedName name="CC_UrbSecScomputati">'Riepilogo oneri e costi'!$Q$79</definedName>
    <definedName name="CCSF_DettContCostoCost_SommaIncrementi" localSheetId="7">'Costo costruzione statofatto'!$K$32</definedName>
    <definedName name="ccSottotetti_AliquotaContributo">#REF!</definedName>
    <definedName name="CCStatoFatto_SupCalcolo" localSheetId="6">'Costo Costruzione'!$N$13</definedName>
    <definedName name="CCStatoFatto_SupCalcolo">'Costo costruzione statofatto'!$L$35</definedName>
    <definedName name="ClasseEdificioDefault">'Determinazione classe'!$G$2</definedName>
    <definedName name="Co_MonAreeParc">'Riepilogo oneri e costi'!$P$190</definedName>
    <definedName name="Co_MonAreeStand">'Riepilogo oneri e costi'!$P$189</definedName>
    <definedName name="Co_NEdResPrim" localSheetId="6">'Riepilogo oneri e costi'!$F$5</definedName>
    <definedName name="Co_NEdResPrim">'Riepilogo oneri e costi'!$F$5</definedName>
    <definedName name="Co_NEdResSec">'Riepilogo oneri e costi'!$F$6</definedName>
    <definedName name="Co_NEdSottPrim" localSheetId="6">'Riepilogo oneri e costi'!$P$37</definedName>
    <definedName name="Complessivo_ConMagg">'Riepilogo oneri e costi'!$P$193</definedName>
    <definedName name="ConsumoSuolo">'Descrizione dell''intervento'!$G$10</definedName>
    <definedName name="Costo_costruzione_Corrisposto">'Riepilogo generale'!$E$41</definedName>
    <definedName name="CostoBase_CommTerz">Parametri!$B$105</definedName>
    <definedName name="CostoBase_NuovaEdif">Parametri!$B$103</definedName>
    <definedName name="CostoBase_Ristrutturaz">Parametri!$B$104</definedName>
    <definedName name="CostoCost_CommTerz_CcEdificio">'Costo Costruzione'!$G$27</definedName>
    <definedName name="CostoCost_Nuov_Ampl_EscCorrisposto">'Costo Costruzione'!$G$34</definedName>
    <definedName name="CostoCost_NuovaCommTerz_ContrBaseMinistValore">'Costo Costruzione'!$G$31</definedName>
    <definedName name="CostoCost_NuovaCost_CcEdificio">'Costo Costruzione'!$G$23</definedName>
    <definedName name="CostoCost_NuovaCost_ContrBaseMinistAliq">'Costo Costruzione'!$F$30</definedName>
    <definedName name="CostoCost_NuovaCost_ContrBaseMinistValore">'Costo Costruzione'!$G$30</definedName>
    <definedName name="CostoCost_NuovaCost_ContrComEstComAliq">'Costo Costruzione'!$F$33</definedName>
    <definedName name="CostoCost_NuovaCost_ContrComEstResAliq">'Costo Costruzione'!$E$32</definedName>
    <definedName name="CostoCost_NuovaCost_SupCompl_CommTerz">'Costo Costruzione'!$G$18</definedName>
    <definedName name="CostoCost_NuovaCost_SupCompl_Res">'Costo Costruzione'!$G$17</definedName>
    <definedName name="CostoCost_NuovaCostComm_ComputoEstim">'Costo Costruzione'!$G$15</definedName>
    <definedName name="CostoCost_NuovaCostComm_SupCompl">'Costo Costruzione'!$G$14</definedName>
    <definedName name="CostoCost_NuovaCostResid_ComputoEstim">'Costo Costruzione'!$G$8</definedName>
    <definedName name="CostoCost_NuovaCostResid_SupCompl">'Costo Costruzione'!$G$7</definedName>
    <definedName name="CostoCost_NuovaEdif_Dovuto">'Costo Costruzione'!$G$40</definedName>
    <definedName name="CostoCost_Riferimento">'Costo Costruzione'!#REF!</definedName>
    <definedName name="CostoCost_Riferimento_Valore">'Costo Costruzione'!$G$42</definedName>
    <definedName name="CostoCost_Rist_CcEdificio">'Costo Costruzione'!$N$23</definedName>
    <definedName name="CostoCost_Rist_ContrBaseMinistAliq">'Costo Costruzione'!$M$30</definedName>
    <definedName name="CostoCost_Rist_ContrBaseMinistValore">'Costo Costruzione'!$N$30</definedName>
    <definedName name="CostoCost_Rist_ContrComEstComAliq">'Costo Costruzione'!$M$33</definedName>
    <definedName name="CostoCost_Rist_ContrComEstResAliq">'Costo Costruzione'!$M$32</definedName>
    <definedName name="CostoCost_Rist_Resid_ComputoEstim">'Costo Costruzione'!$N$8</definedName>
    <definedName name="CostoCost_Rist_SupCompl_CommTerz">'Costo Costruzione'!$N$18</definedName>
    <definedName name="CostoCost_Rist_SupCompl_Res">'Costo Costruzione'!$N$17</definedName>
    <definedName name="CostoCost_RistComm_ComputoEstim">'Costo Costruzione'!$N$15</definedName>
    <definedName name="CostoCost_RistComm_SupCompl">'Costo Costruzione'!$N$14</definedName>
    <definedName name="CostoCost_RistCommTerz_ContrBaseMinistValore">'Costo Costruzione'!$N$31</definedName>
    <definedName name="CostoCost_Ristr_EscCorrisposto">'Costo Costruzione'!$N$34</definedName>
    <definedName name="CostoCost_RistrAmpl_Dovuto">'Costo Costruzione'!$N$40</definedName>
    <definedName name="CostoCost_RistResid_SupCompl">'Costo Costruzione'!$N$7</definedName>
    <definedName name="CostoCost_Sot_CcEdificio">'Costo Costruzione'!$S$23</definedName>
    <definedName name="CostoCost_Sot_ContrBaseMinistAliq">'Costo Costruzione'!$R$30</definedName>
    <definedName name="CostoCost_Sot_ContrComEstResAliq">'Costo Costruzione'!$R$32</definedName>
    <definedName name="CostoCost_Sot_SupCompl">'Costo Costruzione'!$S$17</definedName>
    <definedName name="CostoCost_Sott_ContEscMagg">'Costo Costruzione'!$S$34</definedName>
    <definedName name="CostoCost_Sott_PercentMagg">'Costo Costruzione'!$S$36</definedName>
    <definedName name="CostoCost_Sottotetti_ComputoEstim">'Costo Costruzione'!$S$8</definedName>
    <definedName name="CostoCost_Sottotetti_ContrBaseMinistValore">'Costo Costruzione'!$S$30</definedName>
    <definedName name="CostoCost_SottotResid_SupCompl">'Costo Costruzione'!$S$7</definedName>
    <definedName name="CostoCostFinale_NuovaCostComm_ComputoEstim">'Costo Costruzione'!$G$33</definedName>
    <definedName name="CostoCostFinale_NuovaCostResid_ComputoEstim">'Costo Costruzione'!$G$32</definedName>
    <definedName name="CostoCostFinale_Rist_Resid_ComputoEstim">'Costo Costruzione'!$N$32</definedName>
    <definedName name="CostoCostFinale_RistComm_ComputoEstim">'Costo Costruzione'!$N$33</definedName>
    <definedName name="CostoCostFinale_Sottotetti_ComputoEstim">'Costo Costruzione'!$S$32</definedName>
    <definedName name="CostoCostProg_ContributoDovuto">'Costo costruzione progetto'!$N$52</definedName>
    <definedName name="CostoCostr_NuovaEdif_corrisposto_concessione_cong">'Costo Costruzione'!$G$37</definedName>
    <definedName name="CostoCostr_NuovaEdif_corrisposto_varianti">'Costo Costruzione'!$G$38</definedName>
    <definedName name="CostoCostr_NuovaEdif_Prog_corrisposto_concessione_cong">'Costo costruzione progetto'!$N$49</definedName>
    <definedName name="CostoCostr_NuovaEdif_Prog_corrisposto_varianti">'Costo costruzione progetto'!$N$50</definedName>
    <definedName name="CostoCostr_NuovaEdif_StFatto_corrisposto_concessione_cong">'Costo costruzione statofatto'!$N$49</definedName>
    <definedName name="CostoCostr_NuovaEdif_StFatto_corrisposto_varianti">'Costo costruzione statofatto'!$N$50</definedName>
    <definedName name="CostoCostr_Prog_StFatto_corrisposto">'Riepilogo oneri e costi'!$Q$178</definedName>
    <definedName name="CostoCostr_Ristrutt_corrisposto_concessione_cong">'Costo Costruzione'!$N$37</definedName>
    <definedName name="CostoCostr_Ristrutt_corrisposto_varianti">'Costo Costruzione'!$N$38</definedName>
    <definedName name="CostoCostr_Sottotetti_corrisposto_concessione_cong">'Costo Costruzione'!$S$37</definedName>
    <definedName name="CostoCostr_Sottotetti_corrisposto_varianti">'Costo Costruzione'!$S$38</definedName>
    <definedName name="CostoCostStatoFatto_ContributoDovuto">'Costo costruzione statofatto'!$N$52</definedName>
    <definedName name="DatiGen_IntervSanOnerosaForfImp">'Descrizione dell''intervento'!$G$6</definedName>
    <definedName name="DatiGen_ResidenzialeClasseA">'Descrizione dell''intervento'!$G$11</definedName>
    <definedName name="Densificazione">'Descrizione dell''intervento'!$G$9</definedName>
    <definedName name="DescInt_RisparmioPercent">'Descrizione dell''intervento'!$G$12</definedName>
    <definedName name="DescInt_RisparmioPercent_Etic">'Descrizione dell''intervento'!$B$12</definedName>
    <definedName name="DetCL_DettContCostoCost_SommaIncrementi">'Determinazione classe'!$M$32</definedName>
    <definedName name="DetClasse_Abitanti">Parametri!$C$131</definedName>
    <definedName name="DetClasse_CostoCostruzClasse">'Determinazione classe'!$N$32</definedName>
    <definedName name="DetClasse_CostoMaggioratoCommTerz">'Determinazione classe'!$O$41</definedName>
    <definedName name="DetClasse_CostoMaggioratoNuovaEdif">'Determinazione classe'!$O$35</definedName>
    <definedName name="DetClasse_CostoMaggioratoRistr">'Determinazione classe'!$O$38</definedName>
    <definedName name="DetClasse_Maggiorazione">'Determinazione classe'!$O$32</definedName>
    <definedName name="DetClasse_NomeMatrice">'Determinazione classe'!$K$3</definedName>
    <definedName name="DetClasse_NomeMatriceMinClassi">'Determinazione classe'!$L$3</definedName>
    <definedName name="DetClasse_SelCaratt">'Determinazione classe'!$B$24:$B$29</definedName>
    <definedName name="DetClasse_Snr">'Determinazione classe'!$G$20</definedName>
    <definedName name="DetClasse_SupUtile">'Determinazione classe'!$G$11</definedName>
    <definedName name="DetClasseEdificio_Snr">'Determinazione classe'!$F$20</definedName>
    <definedName name="DetClasseEdificio_SupUtile">'Determinazione classe'!$E$11</definedName>
    <definedName name="DettaglioCostoCostruz_Classe" localSheetId="7">'Costo costruzione statofatto'!$L$32</definedName>
    <definedName name="DettaglioCostoCostruz_Classe">'Costo costruzione progetto'!$L$32</definedName>
    <definedName name="DettaglioCostoCostruz_TipoIntervento" localSheetId="7">'Costo costruzione statofatto'!$D$2</definedName>
    <definedName name="DettaglioCostoCostruz_TipoIntervento">'Costo costruzione progetto'!$D$2</definedName>
    <definedName name="DettContCostoCost_SommaIncrementi">'Costo costruzione progetto'!$K$32</definedName>
    <definedName name="DettContCostoCost_Sottot_Dovuto">'Costo Costruzione'!$S$40</definedName>
    <definedName name="DettCosCostruz_SupCalcolo">'Costo costruzione progetto'!$L$35</definedName>
    <definedName name="DettCosCostruz_SupCalcolo_Sottot">#REF!</definedName>
    <definedName name="dimensione_planimetrica_1">'Calcolo superfici edificio'!$K$36:$K$60</definedName>
    <definedName name="dimensione_planimetrica_1_totale">'Calcolo superfici edificio'!$K$61</definedName>
    <definedName name="dimensione_planimetrica_2">'Calcolo superfici edificio'!$L$36:$L$60</definedName>
    <definedName name="dimensione_planimetrica_2_totale">'Calcolo superfici edificio'!$L$61</definedName>
    <definedName name="dimensione_planimetrica_3">'Calcolo superfici edificio'!$M$36:$M$60</definedName>
    <definedName name="dimensione_planimetrica_3_totale">'Calcolo superfici edificio'!$M$61</definedName>
    <definedName name="dimensione_planimetrica_4">'Calcolo superfici edificio'!$N$36:$N$60</definedName>
    <definedName name="dimensione_planimetrica_4_totale">'Calcolo superfici edificio'!$N$61</definedName>
    <definedName name="dimensione_planimetrica_5">'Calcolo superfici edificio'!$O$36:$O$60</definedName>
    <definedName name="dimensione_planimetrica_5_totale">'Calcolo superfici edificio'!$O$61</definedName>
    <definedName name="dimensione_planimetrica_snr1_totale">'Calcolo superfici edificio'!$O$68</definedName>
    <definedName name="dimensione_planimetrica_snr2_totale">'Calcolo superfici edificio'!$O$70</definedName>
    <definedName name="dimensione_planimetrica_snr3_totale">'Calcolo superfici edificio'!$O$72</definedName>
    <definedName name="dimensione_planimetrica_totali">'Calcolo superfici edificio'!$K$61:$O$61</definedName>
    <definedName name="EdiliziaConvenzionata">'Descrizione dell''intervento'!$G$7</definedName>
    <definedName name="elenco_riepilogo_sua_snr">'Calcolo superfici edificio'!$G$9:$G$16</definedName>
    <definedName name="ElencoZone">Parametri!$B$4:$B$48</definedName>
    <definedName name="ElencoZoneMonetizzazione">Parametri!$B$88:$B$92</definedName>
    <definedName name="ElencoZoneMonetizzazione_Parcheggi">Parametri!$B$96:$B$100</definedName>
    <definedName name="ElencoZoneTerritoriali">Parametri!$B$53:$B$68</definedName>
    <definedName name="FormulaHide1">'Determinazione classe'!$M$23</definedName>
    <definedName name="ImportoAltriCosti" localSheetId="6">'Riepilogo oneri e costi'!#REF!</definedName>
    <definedName name="ImportoAltriCosti" localSheetId="7">'Riepilogo oneri e costi'!#REF!</definedName>
    <definedName name="ImportoAltriCosti" localSheetId="5">'Riepilogo oneri e costi'!#REF!</definedName>
    <definedName name="ImportoAltriCosti">'Riepilogo oneri e costi'!$P$191</definedName>
    <definedName name="ImportoAmmenda">'Riepilogo oneri e costi'!#REF!</definedName>
    <definedName name="ImportoCostoCostruzione">'Riepilogo oneri e costi'!$P$171</definedName>
    <definedName name="ImportoCostoCostruzione_AltriCosti">'Riepilogo oneri e costi'!#REF!</definedName>
    <definedName name="ImportoCostoCostruzione_conAltriCosti">'Riepilogo oneri e costi'!$P$181</definedName>
    <definedName name="ImportoCostoCostruzione_MaggRiduz">'Riepilogo oneri e costi'!#REF!</definedName>
    <definedName name="ImportoCostoCostruzione_senzaAltriCosti">'Riepilogo oneri e costi'!#REF!</definedName>
    <definedName name="ImportoCostoCostruzione_StatoFattoProgetto">'Riepilogo oneri e costi'!$P$179</definedName>
    <definedName name="ImportoOneri_CambioUso">'Riepilogo oneri e costi'!$Q$150</definedName>
    <definedName name="ImportoOneri_Nuovadif">'Riepilogo oneri e costi'!$F$60</definedName>
    <definedName name="ImportoOneri_RecSott">'Riepilogo oneri e costi'!$R$39</definedName>
    <definedName name="ImportoOneri_Ristrutt">'Riepilogo oneri e costi'!$J$60</definedName>
    <definedName name="ImportoOneri_Ristrutt_Sost">'Riepilogo oneri e costi'!$N$60</definedName>
    <definedName name="ImportoOneriSmaltimentoRif" localSheetId="6">'Riepilogo oneri e costi'!$Q$82</definedName>
    <definedName name="ImportoOneriSmaltimentoRif" localSheetId="7">'Riepilogo oneri e costi'!$Q$82</definedName>
    <definedName name="ImportoOneriSmaltimentoRif" localSheetId="5">'Riepilogo oneri e costi'!$Q$82</definedName>
    <definedName name="ImportoOneriSmaltimentoRif">'Riepilogo oneri e costi'!$Q$82</definedName>
    <definedName name="ImportoOneriSmaltRif_NuovaDest">'Riepilogo oneri e costi'!$P$149</definedName>
    <definedName name="ImportoOneriUrb1">'Riepilogo oneri e costi'!$P$62</definedName>
    <definedName name="ImportoOneriUrb1_NuovaDest">'Riepilogo oneri e costi'!$P$147</definedName>
    <definedName name="ImportoOneriUrb2">'Riepilogo oneri e costi'!$P$72</definedName>
    <definedName name="ImportoOneriUrb2_NuovaDest">'Riepilogo oneri e costi'!$P$148</definedName>
    <definedName name="ImportoOneriUrbanizzazione" localSheetId="6">'Riepilogo oneri e costi'!$P$86</definedName>
    <definedName name="ImportoOneriUrbanizzazione" localSheetId="7">'Riepilogo oneri e costi'!$P$86</definedName>
    <definedName name="ImportoOneriUrbanizzazione" localSheetId="5">'Riepilogo oneri e costi'!$P$86</definedName>
    <definedName name="ImportoOneriUrbanizzazione">'Riepilogo oneri e costi'!$P$86</definedName>
    <definedName name="ImportoOneriUrbanizzazione_AltriCosti">'Riepilogo oneri e costi'!#REF!</definedName>
    <definedName name="ImportoOneriUrbanizzazione_NuovaDest">'Riepilogo oneri e costi'!$P$152</definedName>
    <definedName name="ImportoOneriUrbanizzazione_Riferimento">'Riepilogo oneri e costi'!$P$155</definedName>
    <definedName name="ImportoOneriUrbanizzazione_Riferimento_hide">#REF!</definedName>
    <definedName name="ImportoOneriUrbPrim_NuovaDest">'Riepilogo oneri e costi'!$P$147</definedName>
    <definedName name="ImportoOneriUrbRecSottPrimaria">'Riepilogo oneri e costi'!$P$37</definedName>
    <definedName name="ImportoOneriUrbRecSottPrimaria_NuovaDest">'Riepilogo oneri e costi'!#REF!</definedName>
    <definedName name="ImportoOneriUrbRecSottSecondaria">'Riepilogo oneri e costi'!$P$38</definedName>
    <definedName name="ImportoOneriUrbRecSottSecondaria_NuovaDest">'Riepilogo oneri e costi'!#REF!</definedName>
    <definedName name="ImportoSmaltRifiuti_NuovaDest">'Riepilogo oneri e costi'!$P$153</definedName>
    <definedName name="Info_CalcoloSuperficieParcheggio">'Calcolo superficie parcheggio'!$A$2</definedName>
    <definedName name="InSanatoria">'Descrizione dell''intervento'!$G$5</definedName>
    <definedName name="link_descrizione_intervento">'Descrizione dell''intervento'!$B$2</definedName>
    <definedName name="link_monetizzazione_standards">'Descrizione dell''intervento'!$B$97</definedName>
    <definedName name="link_oneri_urbanizzazione">'Descrizione dell''intervento'!$B$15</definedName>
    <definedName name="link_oneri_urbanizzazione_cambio_uso">'Descrizione dell''intervento'!$B$80</definedName>
    <definedName name="Maggiorazione" localSheetId="6">'Riepilogo generale'!$E$70</definedName>
    <definedName name="Maggiorazione" localSheetId="7">'Riepilogo generale'!$E$70</definedName>
    <definedName name="Maggiorazione" localSheetId="5">'Riepilogo generale'!$E$70</definedName>
    <definedName name="Maggiorazione">'Riepilogo generale'!$E$70</definedName>
    <definedName name="MatriceParametri">Parametri!$C$4:$AR$48</definedName>
    <definedName name="Monetizz_Aree_sup" localSheetId="6">'Descrizione dell''intervento'!$G$100</definedName>
    <definedName name="Monetizz_Aree_sup" localSheetId="7">'Descrizione dell''intervento'!$G$100</definedName>
    <definedName name="Monetizz_Aree_sup" localSheetId="5">'Descrizione dell''intervento'!$G$100</definedName>
    <definedName name="Monetizz_Aree_sup">'Descrizione dell''intervento'!$G$100</definedName>
    <definedName name="Monetizz_Parcheggi_Sup" localSheetId="6">'Descrizione dell''intervento'!$G$106</definedName>
    <definedName name="Monetizz_Parcheggi_Sup" localSheetId="7">'Descrizione dell''intervento'!$G$106</definedName>
    <definedName name="Monetizz_Parcheggi_Sup" localSheetId="5">'Descrizione dell''intervento'!$G$106</definedName>
    <definedName name="Monetizz_Parcheggi_Sup">'Descrizione dell''intervento'!$G$106</definedName>
    <definedName name="Monetizzazione" localSheetId="6">'Riepilogo oneri e costi'!$P$148</definedName>
    <definedName name="Monetizzazione" localSheetId="7">'Riepilogo oneri e costi'!$P$148</definedName>
    <definedName name="Monetizzazione" localSheetId="5">'Riepilogo oneri e costi'!$P$148</definedName>
    <definedName name="Monetizzazione">'Riepilogo oneri e costi'!$P$190</definedName>
    <definedName name="OC_RispEnerResid_Hide">'Riepilogo oneri e costi'!$R$5</definedName>
    <definedName name="OC_RispEnerSecResid_Hide">'Riepilogo oneri e costi'!$R$6</definedName>
    <definedName name="Oneri_Urb_Prim_Corrisposti">'Descrizione dell''intervento'!$G$18</definedName>
    <definedName name="oneri_urb_prim_dest_finale">'Riepilogo oneri e costi'!$J$143</definedName>
    <definedName name="oneri_urb_prim_dest_iniziale">'Riepilogo oneri e costi'!$F$143</definedName>
    <definedName name="Oneri_Urb_Sec_Corrisposti">'Descrizione dell''intervento'!$G$19</definedName>
    <definedName name="oneri_urb_sec_dest_finale">'Riepilogo oneri e costi'!$J$144</definedName>
    <definedName name="oneri_urb_sec_dest_iniziale">'Riepilogo oneri e costi'!$F$144</definedName>
    <definedName name="OneriTotali" localSheetId="6">'Riepilogo oneri e costi'!$P$156</definedName>
    <definedName name="OneriTotali" localSheetId="7">'Riepilogo oneri e costi'!$P$156</definedName>
    <definedName name="OneriTotali" localSheetId="5">'Riepilogo oneri e costi'!$P$156</definedName>
    <definedName name="OneriTotali">'Riepilogo oneri e costi'!#REF!</definedName>
    <definedName name="OnPrim_MaggiorazioneConsumoSuolo">'Riepilogo oneri e costi'!#REF!</definedName>
    <definedName name="OnPrim_RiduzioneDensificazione">'Riepilogo oneri e costi'!$Q$65</definedName>
    <definedName name="OnPrim_RiduzionePianoCasa">'Riepilogo oneri e costi'!$Q$64</definedName>
    <definedName name="OnPrim_RiduzioneRispEnerg">'Riepilogo oneri e costi'!$Q$66</definedName>
    <definedName name="OnPrim_RiduzioneSostituzione">'Riepilogo oneri e costi'!#REF!</definedName>
    <definedName name="OnSec_MaggiorazioneConsumoSuolo">'Riepilogo oneri e costi'!#REF!</definedName>
    <definedName name="OnSec_RiduzioneDensificazione">'Riepilogo oneri e costi'!$Q$75</definedName>
    <definedName name="OnSec_RiduzionePianoCasa">'Riepilogo oneri e costi'!$Q$74</definedName>
    <definedName name="OnSec_RiduzioneRispEnerg">'Riepilogo oneri e costi'!$Q$76</definedName>
    <definedName name="OnSec_RiduzioneSostituzione">'Riepilogo oneri e costi'!#REF!</definedName>
    <definedName name="OnUrb_AltriCosti_DescMaggCostoCAreeAgr">'Riepilogo oneri e costi'!$B$187</definedName>
    <definedName name="OnUrb_AltriCosti_ValoreMaggCostoCAreeAgr">'Riepilogo oneri e costi'!$Q$187</definedName>
    <definedName name="OpereUrbPrimRealizzate">'Descrizione dell''intervento'!$G$21</definedName>
    <definedName name="OpereUrbSecRealizzate">'Descrizione dell''intervento'!$G$22</definedName>
    <definedName name="opzioni">Parametri!$L$88:$L$89</definedName>
    <definedName name="Ou_Cost_AttCulSan_NuovaEdif">'Descrizione dell''intervento'!$G$31</definedName>
    <definedName name="Ou_Cost_AttSpett_NuovaEdif">'Descrizione dell''intervento'!$G$33</definedName>
    <definedName name="Ou_Cost_AttSport_NuovaEdif">'Descrizione dell''intervento'!$G$32</definedName>
    <definedName name="Ou_Cost_Comm_NuovaEdif">'Descrizione dell''intervento'!$G$27</definedName>
    <definedName name="Ou_Cost_IndAlb_NuovaEdif">'Descrizione dell''intervento'!$G$29</definedName>
    <definedName name="Ou_Cost_IndArt_NuovaEdif">'Descrizione dell''intervento'!$G$28</definedName>
    <definedName name="Ou_Cost_Parc_NuovaEdif">'Descrizione dell''intervento'!$G$30</definedName>
    <definedName name="Ou_Cost_Personalizzazione1_NuovaEdif">'Descrizione dell''intervento'!$G$34</definedName>
    <definedName name="Ou_Cost_Personalizzazione2_NuovaEdif">'Descrizione dell''intervento'!$G$35</definedName>
    <definedName name="Ou_Cost_Personalizzazione3_NuovaEdif">'Descrizione dell''intervento'!$G$36</definedName>
    <definedName name="Ou_Cost_Personalizzazione4_NuovaEdif">'Descrizione dell''intervento'!$G$37</definedName>
    <definedName name="Ou_Cost_Personalizzazione5_NuovaEdif">'Descrizione dell''intervento'!$G$38</definedName>
    <definedName name="Ou_Cost_Res_NuovaEdif">'Descrizione dell''intervento'!$G$26</definedName>
    <definedName name="Ou_NuovaEd_AreaAgricola">'Descrizione dell''intervento'!$D$46</definedName>
    <definedName name="Ou_NuovaEd_AreaAgricolaPerc">'Descrizione dell''intervento'!$G$46</definedName>
    <definedName name="Ou_NuovaEd_AreaAgricolaSupAreaAg">'Descrizione dell''intervento'!$F$46</definedName>
    <definedName name="Ou_NuovaEd_AreaAgricolaSupLotto">'Descrizione dell''intervento'!$E$46</definedName>
    <definedName name="Ou_NuovaEd_AttSpet_CompMet">'Descrizione dell''intervento'!#REF!</definedName>
    <definedName name="Ou_NuovaEd_AttSpet_ParReale">'Descrizione dell''intervento'!$D$33</definedName>
    <definedName name="Ou_NuovaEd_AttSpet_ParVirt">'Descrizione dell''intervento'!$G$89</definedName>
    <definedName name="Ou_NuovaEd_AttSpor_CompMet">'Descrizione dell''intervento'!#REF!</definedName>
    <definedName name="Ou_NuovaEd_AttSpor_ParReale">'Descrizione dell''intervento'!$D$32</definedName>
    <definedName name="Ou_NuovaEd_AttSpor_ParVirt">'Descrizione dell''intervento'!$G$88</definedName>
    <definedName name="Ou_NuovaEd_Com_CompMet" localSheetId="6">'Descrizione dell''intervento'!#REF!</definedName>
    <definedName name="Ou_NuovaEd_Com_CompMet" localSheetId="7">'Descrizione dell''intervento'!#REF!</definedName>
    <definedName name="Ou_NuovaEd_Com_CompMet" localSheetId="5">'Descrizione dell''intervento'!#REF!</definedName>
    <definedName name="Ou_NuovaEd_Com_ParReale">'Descrizione dell''intervento'!$D$27</definedName>
    <definedName name="Ou_NuovaEd_Com_ParVirt">'Descrizione dell''intervento'!$G$83</definedName>
    <definedName name="Ou_NuovaEd_CultSan_CompMet">'Descrizione dell''intervento'!#REF!</definedName>
    <definedName name="Ou_NuovaEd_CultSan_ParReale">'Descrizione dell''intervento'!$D$31</definedName>
    <definedName name="Ou_NuovaEd_CultSan_ParVirt">'Descrizione dell''intervento'!$G$87</definedName>
    <definedName name="Ou_NuovaEd_IndAlb_CompMet">'Descrizione dell''intervento'!#REF!</definedName>
    <definedName name="Ou_NuovaEd_IndAlb_ParReale">'Descrizione dell''intervento'!$D$29</definedName>
    <definedName name="Ou_NuovaEd_IndAlb_ParVirt">'Descrizione dell''intervento'!$G$85</definedName>
    <definedName name="Ou_NuovaEd_IndArt_CompMet">'Descrizione dell''intervento'!#REF!</definedName>
    <definedName name="Ou_NuovaEd_IndArt_ParReale">'Descrizione dell''intervento'!$D$28</definedName>
    <definedName name="Ou_NuovaEd_IndArt_ParVirt">'Descrizione dell''intervento'!$G$84</definedName>
    <definedName name="Ou_NuovaEd_ParSil_CompMet">'Descrizione dell''intervento'!#REF!</definedName>
    <definedName name="Ou_NuovaEd_ParSil_ParReale">'Descrizione dell''intervento'!$D$30</definedName>
    <definedName name="Ou_NuovaEd_ParSil_ParVirt">'Descrizione dell''intervento'!$G$86</definedName>
    <definedName name="Ou_NuovaEd_Person1_ParVirt">'Descrizione dell''intervento'!$G$90</definedName>
    <definedName name="Ou_NuovaEd_Person2_ParVirt">'Descrizione dell''intervento'!$G$91</definedName>
    <definedName name="Ou_NuovaEd_Person3_ParVirt">'Descrizione dell''intervento'!$G$92</definedName>
    <definedName name="Ou_NuovaEd_Person4_ParVirt">'Descrizione dell''intervento'!$G$93</definedName>
    <definedName name="Ou_NuovaEd_Person5_ParVirt">'Descrizione dell''intervento'!$G$94</definedName>
    <definedName name="Ou_NuovaEd_Res_ParVirt">'Descrizione dell''intervento'!$G$82</definedName>
    <definedName name="Ou_NuovaEd_Sottotetti_ParReale">'Descrizione dell''intervento'!$G$42</definedName>
    <definedName name="Ou_NuovaEd_Sottotetti_ParVirt">'Descrizione dell''intervento'!$E$95</definedName>
    <definedName name="Ou_NuovaEd_SottotettiNonAbit_ParReale" localSheetId="6">'Descrizione dell''intervento'!#REF!</definedName>
    <definedName name="Ou_NuovaEd_SottotettiNonAbit_ParReale" localSheetId="7">'Descrizione dell''intervento'!#REF!</definedName>
    <definedName name="Ou_NuovaEd_SottotettiNonAbit_ParReale" localSheetId="5">'Descrizione dell''intervento'!#REF!</definedName>
    <definedName name="Ou_NuovaEd_SottotettiNonAbit_ParReale">'Descrizione dell''intervento'!#REF!</definedName>
    <definedName name="Ou_PrimariaDefiniti">'Descrizione dell''intervento'!$G$16</definedName>
    <definedName name="Ou_Rist_AttSpet">'Descrizione dell''intervento'!$G$57</definedName>
    <definedName name="Ou_Rist_AttSpet_CompMet">'Descrizione dell''intervento'!$F$57</definedName>
    <definedName name="Ou_Rist_AttSpet_CompMet_Sost">'Descrizione dell''intervento'!$F$73</definedName>
    <definedName name="Ou_Rist_AttSpet_ParReale">'Descrizione dell''intervento'!$D$57</definedName>
    <definedName name="Ou_Rist_AttSpet_ParReale_Sost">'Descrizione dell''intervento'!$D$73</definedName>
    <definedName name="Ou_Rist_AttSpet_ParVirt">'Descrizione dell''intervento'!$E$57</definedName>
    <definedName name="Ou_Rist_AttSpet_ParVirt_Sost">'Descrizione dell''intervento'!$E$73</definedName>
    <definedName name="Ou_Rist_AttSpet_Sost">'Descrizione dell''intervento'!$G$73</definedName>
    <definedName name="Ou_Rist_AttSpor">'Descrizione dell''intervento'!$G$56</definedName>
    <definedName name="Ou_Rist_AttSpor_CompMet">'Descrizione dell''intervento'!$F$56</definedName>
    <definedName name="Ou_Rist_AttSpor_CompMet_Sost">'Descrizione dell''intervento'!$F$72</definedName>
    <definedName name="Ou_Rist_AttSpor_ParReale">'Descrizione dell''intervento'!$D$56</definedName>
    <definedName name="Ou_Rist_AttSpor_ParReale_Sost">'Descrizione dell''intervento'!$D$72</definedName>
    <definedName name="Ou_Rist_AttSpor_ParVirt">'Descrizione dell''intervento'!$E$56</definedName>
    <definedName name="Ou_Rist_AttSpor_ParVirt_Sost">'Descrizione dell''intervento'!$E$72</definedName>
    <definedName name="Ou_Rist_AttSpor_Sost">'Descrizione dell''intervento'!$G$72</definedName>
    <definedName name="Ou_Rist_Com">'Descrizione dell''intervento'!$G$51</definedName>
    <definedName name="Ou_Rist_Com_CompMet">'Descrizione dell''intervento'!$F$51</definedName>
    <definedName name="Ou_Rist_Com_CompMet_Sost">'Descrizione dell''intervento'!$F$67</definedName>
    <definedName name="Ou_Rist_Com_ParReale">'Descrizione dell''intervento'!$D$51</definedName>
    <definedName name="Ou_Rist_Com_ParReale_Sost">'Descrizione dell''intervento'!$D$67</definedName>
    <definedName name="Ou_Rist_Com_ParVirt">'Descrizione dell''intervento'!$E$51</definedName>
    <definedName name="Ou_Rist_Com_ParVirt_Sost">'Descrizione dell''intervento'!$E$67</definedName>
    <definedName name="Ou_Rist_Com_Sost">'Descrizione dell''intervento'!$G$67</definedName>
    <definedName name="Ou_Rist_CultSan">'Descrizione dell''intervento'!$G$55</definedName>
    <definedName name="Ou_Rist_CultSan_CompMet">'Descrizione dell''intervento'!$F$55</definedName>
    <definedName name="Ou_Rist_CultSan_CompMet_Sost">'Descrizione dell''intervento'!$F$71</definedName>
    <definedName name="Ou_Rist_CultSan_ParReale">'Descrizione dell''intervento'!$D$55</definedName>
    <definedName name="Ou_Rist_CultSan_ParReale_Sost">'Descrizione dell''intervento'!$D$71</definedName>
    <definedName name="Ou_Rist_CultSan_ParVirt">'Descrizione dell''intervento'!$E$55</definedName>
    <definedName name="Ou_Rist_CultSan_ParVirt_Sost">'Descrizione dell''intervento'!$E$71</definedName>
    <definedName name="Ou_Rist_CultSan_Sost">'Descrizione dell''intervento'!$G$71</definedName>
    <definedName name="Ou_Rist_IndAlb">'Descrizione dell''intervento'!$G$53</definedName>
    <definedName name="Ou_Rist_IndAlb_CompMet">'Descrizione dell''intervento'!$F$53</definedName>
    <definedName name="Ou_Rist_IndAlb_CompMet_Sost">'Descrizione dell''intervento'!$F$69</definedName>
    <definedName name="Ou_Rist_IndAlb_ParReale">'Descrizione dell''intervento'!$D$53</definedName>
    <definedName name="Ou_Rist_IndAlb_ParReale_Sost">'Descrizione dell''intervento'!$D$69</definedName>
    <definedName name="Ou_Rist_IndAlb_ParVirt">'Descrizione dell''intervento'!$E$53</definedName>
    <definedName name="Ou_Rist_IndAlb_ParVirt_Sost">'Descrizione dell''intervento'!$E$69</definedName>
    <definedName name="Ou_Rist_IndAlb_Sost">'Descrizione dell''intervento'!$G$69</definedName>
    <definedName name="Ou_Rist_IndArt">'Descrizione dell''intervento'!$G$52</definedName>
    <definedName name="Ou_Rist_IndArt_CompMet">'Descrizione dell''intervento'!$F$52</definedName>
    <definedName name="Ou_Rist_IndArt_CompMet_Sost">'Descrizione dell''intervento'!$F$68</definedName>
    <definedName name="Ou_Rist_IndArt_ParReale">'Descrizione dell''intervento'!$D$52</definedName>
    <definedName name="Ou_Rist_IndArt_ParReale_Sost">'Descrizione dell''intervento'!$D$68</definedName>
    <definedName name="Ou_Rist_IndArt_ParVirt">'Descrizione dell''intervento'!$E$52</definedName>
    <definedName name="Ou_Rist_IndArt_ParVirt_Sost">'Descrizione dell''intervento'!$E$68</definedName>
    <definedName name="Ou_Rist_IndArt_Sost">'Descrizione dell''intervento'!$G$68</definedName>
    <definedName name="Ou_Rist_ParSil">'Descrizione dell''intervento'!$G$54</definedName>
    <definedName name="Ou_Rist_ParSil_CompMet">'Descrizione dell''intervento'!$F$54</definedName>
    <definedName name="Ou_Rist_ParSil_CompMet_Sost">'Descrizione dell''intervento'!$F$70</definedName>
    <definedName name="Ou_Rist_ParSil_ParReale">'Descrizione dell''intervento'!$D$54</definedName>
    <definedName name="Ou_Rist_ParSil_ParReale_Sost">'Descrizione dell''intervento'!$D$70</definedName>
    <definedName name="Ou_Rist_ParSil_ParVirt">'Descrizione dell''intervento'!$E$54</definedName>
    <definedName name="Ou_Rist_ParSil_ParVirt_Sost">'Descrizione dell''intervento'!$E$70</definedName>
    <definedName name="Ou_Rist_ParSil_Sost">'Descrizione dell''intervento'!$G$70</definedName>
    <definedName name="Ou_Rist_Personalizzazione1">'Descrizione dell''intervento'!$G$58</definedName>
    <definedName name="Ou_Rist_Personalizzazione1_CompMet">'Descrizione dell''intervento'!$F$58</definedName>
    <definedName name="Ou_Rist_Personalizzazione1_CompMet_Sost">'Descrizione dell''intervento'!$F$74</definedName>
    <definedName name="Ou_Rist_Personalizzazione1_ParReale">'Descrizione dell''intervento'!$D$58</definedName>
    <definedName name="Ou_Rist_Personalizzazione1_ParReale_Sost">'Descrizione dell''intervento'!$D$74</definedName>
    <definedName name="Ou_Rist_Personalizzazione1_ParVirt">'Descrizione dell''intervento'!$E$58</definedName>
    <definedName name="Ou_Rist_Personalizzazione1_ParVirt_Sost">'Descrizione dell''intervento'!$E$74</definedName>
    <definedName name="Ou_Rist_Personalizzazione1_Sost">'Descrizione dell''intervento'!$G$74</definedName>
    <definedName name="Ou_Rist_Personalizzazione2">'Descrizione dell''intervento'!$G$59</definedName>
    <definedName name="Ou_Rist_Personalizzazione2_CompMet">'Descrizione dell''intervento'!$F$59</definedName>
    <definedName name="Ou_Rist_Personalizzazione2_CompMet_Sost">'Descrizione dell''intervento'!$F$75</definedName>
    <definedName name="Ou_Rist_Personalizzazione2_ParReale">'Descrizione dell''intervento'!$D$59</definedName>
    <definedName name="Ou_Rist_Personalizzazione2_ParReale_Sost">'Descrizione dell''intervento'!$D$75</definedName>
    <definedName name="Ou_Rist_Personalizzazione2_ParVirt">'Descrizione dell''intervento'!$E$59</definedName>
    <definedName name="Ou_Rist_Personalizzazione2_ParVirt_Sost">'Descrizione dell''intervento'!$E$75</definedName>
    <definedName name="Ou_Rist_Personalizzazione2_Sost">'Descrizione dell''intervento'!$G$75</definedName>
    <definedName name="Ou_Rist_Personalizzazione3">'Descrizione dell''intervento'!$G$60</definedName>
    <definedName name="Ou_Rist_Personalizzazione3_CompMet">'Descrizione dell''intervento'!$F$60</definedName>
    <definedName name="Ou_Rist_Personalizzazione3_CompMet_Sost">'Descrizione dell''intervento'!$F$76</definedName>
    <definedName name="Ou_Rist_Personalizzazione3_ParReale">'Descrizione dell''intervento'!$D$60</definedName>
    <definedName name="Ou_Rist_Personalizzazione3_ParReale_Sost">'Descrizione dell''intervento'!$D$76</definedName>
    <definedName name="Ou_Rist_Personalizzazione3_ParVirt">'Descrizione dell''intervento'!$E$60</definedName>
    <definedName name="Ou_Rist_Personalizzazione3_ParVirt_Sost">'Descrizione dell''intervento'!$E$76</definedName>
    <definedName name="Ou_Rist_Personalizzazione3_Sost">'Descrizione dell''intervento'!$G$76</definedName>
    <definedName name="Ou_Rist_Personalizzazione4">'Descrizione dell''intervento'!$G$61</definedName>
    <definedName name="Ou_Rist_Personalizzazione4_CompMet">'Descrizione dell''intervento'!$F$61</definedName>
    <definedName name="Ou_Rist_Personalizzazione4_CompMet_Sost">'Descrizione dell''intervento'!$F$77</definedName>
    <definedName name="Ou_Rist_Personalizzazione4_ParReale">'Descrizione dell''intervento'!$D$61</definedName>
    <definedName name="Ou_Rist_Personalizzazione4_ParReale_Sost">'Descrizione dell''intervento'!$D$77</definedName>
    <definedName name="Ou_Rist_Personalizzazione4_ParVirt">'Descrizione dell''intervento'!$E$61</definedName>
    <definedName name="Ou_Rist_Personalizzazione4_ParVirt_Sost">'Descrizione dell''intervento'!$E$77</definedName>
    <definedName name="Ou_Rist_Personalizzazione4_Sost">'Descrizione dell''intervento'!$G$77</definedName>
    <definedName name="Ou_Rist_Personalizzazione5">'Descrizione dell''intervento'!$G$62</definedName>
    <definedName name="Ou_Rist_Personalizzazione5_CompMet">'Descrizione dell''intervento'!$F$62</definedName>
    <definedName name="Ou_Rist_Personalizzazione5_CompMet_Sost">'Descrizione dell''intervento'!$F$78</definedName>
    <definedName name="Ou_Rist_Personalizzazione5_ParReale">'Descrizione dell''intervento'!$D$62</definedName>
    <definedName name="Ou_Rist_Personalizzazione5_ParReale_Sost">'Descrizione dell''intervento'!$D$78</definedName>
    <definedName name="Ou_Rist_Personalizzazione5_ParVirt">'Descrizione dell''intervento'!$E$62</definedName>
    <definedName name="Ou_Rist_Personalizzazione5_ParVirt_Sost">'Descrizione dell''intervento'!$E$78</definedName>
    <definedName name="Ou_Rist_Personalizzazione5_Sost">'Descrizione dell''intervento'!$G$78</definedName>
    <definedName name="Ou_Rist_Res">'Descrizione dell''intervento'!$G$50</definedName>
    <definedName name="Ou_Rist_Res_CompMet">'Descrizione dell''intervento'!$F$50</definedName>
    <definedName name="Ou_Rist_Res_CompMet_Sost">'Descrizione dell''intervento'!$F$66</definedName>
    <definedName name="Ou_Rist_Res_ParReale" localSheetId="6">'Descrizione dell''intervento'!$D$50</definedName>
    <definedName name="Ou_Rist_Res_ParReale" localSheetId="7">'Descrizione dell''intervento'!$D$50</definedName>
    <definedName name="Ou_Rist_Res_ParReale" localSheetId="5">'Descrizione dell''intervento'!$D$50</definedName>
    <definedName name="Ou_Rist_Res_ParReale">'Descrizione dell''intervento'!$D$50</definedName>
    <definedName name="Ou_Rist_Res_ParReale_Sost">'Descrizione dell''intervento'!$D$66</definedName>
    <definedName name="Ou_Rist_Res_ParVirt">'Descrizione dell''intervento'!$E$50</definedName>
    <definedName name="Ou_Rist_Res_ParVirt_Sost">'Descrizione dell''intervento'!$E$66</definedName>
    <definedName name="Ou_Rist_Res_Sost">'Descrizione dell''intervento'!$G$66</definedName>
    <definedName name="Ou_SecDefiniti">'Descrizione dell''intervento'!$G$17</definedName>
    <definedName name="Ou_UsoIniziale_AttSpet_ParVirt">'Descrizione dell''intervento'!$F$89</definedName>
    <definedName name="Ou_UsoIniziale_AttSpor_ParVirt">'Descrizione dell''intervento'!$F$88</definedName>
    <definedName name="Ou_UsoIniziale_Com_ParVirt">'Descrizione dell''intervento'!$F$83</definedName>
    <definedName name="Ou_UsoIniziale_CultSan_ParVirt">'Descrizione dell''intervento'!$F$87</definedName>
    <definedName name="Ou_UsoIniziale_IndAlb_ParVirt">'Descrizione dell''intervento'!$F$85</definedName>
    <definedName name="Ou_UsoIniziale_IndArt_ParVirt">'Descrizione dell''intervento'!$F$84</definedName>
    <definedName name="Ou_UsoIniziale_ParSil_ParVirt">'Descrizione dell''intervento'!$F$86</definedName>
    <definedName name="Ou_UsoIniziale_Person1_ParVirt">'Descrizione dell''intervento'!$F$90</definedName>
    <definedName name="Ou_UsoIniziale_Person2_ParVirt">'Descrizione dell''intervento'!$F$91</definedName>
    <definedName name="Ou_UsoIniziale_Person3_ParVirt">'Descrizione dell''intervento'!$F$92</definedName>
    <definedName name="Ou_UsoIniziale_Person4_ParVirt">'Descrizione dell''intervento'!$F$93</definedName>
    <definedName name="Ou_UsoIniziale_Person5_ParVirt">'Descrizione dell''intervento'!$F$94</definedName>
    <definedName name="Ou_UsoIniziale_Res_ParVirt">'Descrizione dell''intervento'!$F$82</definedName>
    <definedName name="Par_PianoCasa_Rid">Parametri!$B$117</definedName>
    <definedName name="Par_PianoCasa_RidCC">Parametri!$C$117</definedName>
    <definedName name="Par_Rid_ConsumoSuolo">Parametri!$B$127</definedName>
    <definedName name="Par_Rid_Densificazione_CC">Parametri!$C$124</definedName>
    <definedName name="Par_Rid_Densificazione_Oneri">Parametri!$B$124</definedName>
    <definedName name="Par_Sostituzione_Rid_Oneri">Parametri!#REF!</definedName>
    <definedName name="Parametri_Aliquota_terziario_nuova_costr">Parametri!$B$109</definedName>
    <definedName name="Parametri_Aliquota_terziario_ristrutt">Parametri!$C$109</definedName>
    <definedName name="Parametri_Classi">Parametri!$B$135:$G$145</definedName>
    <definedName name="Parametri_ClassiSopr50000Ab">Parametri!$B$149:$G$159</definedName>
    <definedName name="Parametri_ColonnaDesinazione1">Parametri!$C$2</definedName>
    <definedName name="Parametri_DestUsoPersonalizzazione1">Parametri!$C$72</definedName>
    <definedName name="Parametri_DestUsoPersonalizzazione10">Parametri!$C$81</definedName>
    <definedName name="Parametri_DestUsoPersonalizzazione11">Parametri!$C$82</definedName>
    <definedName name="Parametri_DestUsoPersonalizzazione12">Parametri!$C$83</definedName>
    <definedName name="Parametri_DestUsoPersonalizzazione13">Parametri!$C$84</definedName>
    <definedName name="Parametri_DestUsoPersonalizzazione2">Parametri!$C$73</definedName>
    <definedName name="Parametri_DestUsoPersonalizzazione3">Parametri!$C$74</definedName>
    <definedName name="Parametri_DestUsoPersonalizzazione4">Parametri!$C$75</definedName>
    <definedName name="Parametri_DestUsoPersonalizzazione5">Parametri!$C$76</definedName>
    <definedName name="Parametri_DestUsoPersonalizzazione6">Parametri!$C$77</definedName>
    <definedName name="Parametri_DestUsoPersonalizzazione7">Parametri!$C$78</definedName>
    <definedName name="Parametri_DestUsoPersonalizzazione8">Parametri!$C$79</definedName>
    <definedName name="Parametri_DestUsoPersonalizzazione9">Parametri!$C$80</definedName>
    <definedName name="Parametri_DirittiTecnici">Parametri!#REF!</definedName>
    <definedName name="Parametri_DirSegrUnitario">Parametri!#REF!</definedName>
    <definedName name="Parametri_ElencoPercRidConsumoSuolo">Parametri!$B$127:$B$129</definedName>
    <definedName name="Parametri_ElencoZoneMatrice">Parametri!$B$88:$F$92</definedName>
    <definedName name="Parametri_ElencoZoneMonetizzAreeStandDesc">Parametri!$C$88:$C$92</definedName>
    <definedName name="Parametri_ElencoZoneMonetizzParcheggiDesc">Parametri!$C$96:$C$100</definedName>
    <definedName name="Parametri_ElencoZoneParcheggiMatrice">Parametri!$B$96:$F$100</definedName>
    <definedName name="Parametri_ElencoZoneTerritorialiDesc">Parametri!$C$53:$C$68</definedName>
    <definedName name="Parametri_MaggiorazioneAreeAgric">Parametri!$B$120</definedName>
    <definedName name="Parametri_MaggiorazioneSottotetti">Parametri!$B$113</definedName>
    <definedName name="Parametri_MaggiorazioneSottotettiCC">Parametri!$C$113</definedName>
    <definedName name="Parametri_MaggiorazioneSottotettiF2">Parametri!#REF!</definedName>
    <definedName name="Parametri_MaxClassi">Parametri!$D$135:$D$145</definedName>
    <definedName name="Parametri_MaxClassiSopr50000Ab">Parametri!$D$149:$D$159</definedName>
    <definedName name="Parametri_MinClassi">Parametri!$C$135:$C$145</definedName>
    <definedName name="Parametri_MinClassiSopr50000Ab">Parametri!$C$149:$C$159</definedName>
    <definedName name="Parametri_MonetizzazioneAreeStand">Parametri!$C$88:$F$92</definedName>
    <definedName name="Parametri_MonetizzazioneParcheggi">Parametri!$C$96:$F$100</definedName>
    <definedName name="Parcheggio_Recupero_Sottotetti">'Calcolo superficie parcheggio'!$D$23</definedName>
    <definedName name="passo_descrizione_intervento">'Procedura guidata'!$X$3:$AC$5</definedName>
    <definedName name="PianoCasa">'Descrizione dell''intervento'!$G$8</definedName>
    <definedName name="Rateizzazione_1RataCC">Rateizzazione!$D$11</definedName>
    <definedName name="Rateizzazione_1RataOnPrim">Rateizzazione!$D$13</definedName>
    <definedName name="Rateizzazione_1RataOnSec">Rateizzazione!$D$14</definedName>
    <definedName name="Rateizzazione_1RataSR">Rateizzazione!$D$12</definedName>
    <definedName name="Rateizzazione_2RataCC">Rateizzazione!$E$22</definedName>
    <definedName name="Rateizzazione_2RataOnPrim">Rateizzazione!$E$24</definedName>
    <definedName name="Rateizzazione_2RataOnSec">Rateizzazione!$E$25</definedName>
    <definedName name="Rateizzazione_2RataSR">Rateizzazione!$E$23</definedName>
    <definedName name="Rateizzazione_3RataCC">Rateizzazione!$F$22</definedName>
    <definedName name="Rateizzazione_3RataOnPrim">Rateizzazione!$F$24</definedName>
    <definedName name="Rateizzazione_3RataOnSec">Rateizzazione!$F$25</definedName>
    <definedName name="Rateizzazione_3RataSR">Rateizzazione!$F$23</definedName>
    <definedName name="Rateizzazione_4RataCC">Rateizzazione!$G$22</definedName>
    <definedName name="Rateizzazione_4RataOnPrim">Rateizzazione!$G$24</definedName>
    <definedName name="Rateizzazione_4RataOnSec">Rateizzazione!$G$25</definedName>
    <definedName name="Rateizzazione_4RataSR">Rateizzazione!$G$23</definedName>
    <definedName name="Rateizzazione_DataProtocollo">Rateizzazione!$G$5</definedName>
    <definedName name="Rateizzazione_ImportoFidejussione">Rateizzazione!$G$35</definedName>
    <definedName name="Rateizzazione_InteresseLegale">Rateizzazione!$G$6</definedName>
    <definedName name="Rateizzazione_Sanzioni">Rateizzazione!$G$33</definedName>
    <definedName name="Rateizzazione_Scadenza1Rata">Rateizzazione!$D$18</definedName>
    <definedName name="Rateizzazione_Scadenza2Rata">Rateizzazione!$E$29</definedName>
    <definedName name="Rateizzazione_Scadenza3Rata">Rateizzazione!$F$29</definedName>
    <definedName name="Rateizzazione_Scadenza4Rata">Rateizzazione!$G$29</definedName>
    <definedName name="Rateizzazione_ScadenzaFidejussione">Rateizzazione!$G$37</definedName>
    <definedName name="Rateizzazione_Totale1Rata">Rateizzazione!$D$16</definedName>
    <definedName name="Rateizzazione_Totale2Rata">Rateizzazione!$E$27</definedName>
    <definedName name="Rateizzazione_Totale3Rata">Rateizzazione!$F$27</definedName>
    <definedName name="Rateizzazione_Totale4Rata">Rateizzazione!$G$27</definedName>
    <definedName name="Rateizzazione_TotaleRate">Rateizzazione!$G$32</definedName>
    <definedName name="Riep_DatiProg_EvSupSottRec">'Riepilogo generale'!$E$75</definedName>
    <definedName name="Riep_DatiProg_SupComp_Nuova_CommTerz">'Riepilogo generale'!$E$72</definedName>
    <definedName name="Riep_DatiProg_SupComp_Nuova_Res">'Riepilogo generale'!$E$71</definedName>
    <definedName name="Riep_DatiProg_SupComp_RistrAmpl_CommTerz">'Riepilogo generale'!$E$74</definedName>
    <definedName name="Riep_DatiProg_SupComp_RistrAmpl_Res">'Riepilogo generale'!$E$73</definedName>
    <definedName name="Riepilogo_AltriCosti">'Riepilogo generale'!$E$63</definedName>
    <definedName name="Riepilogo_Ammenda">'Riepilogo generale'!#REF!</definedName>
    <definedName name="Riepilogo_CC_AltriCosti_ValoreMaggCostoCAreeAgr">'Riepilogo generale'!$E$61</definedName>
    <definedName name="Riepilogo_Cc_OneriSmaltRifiutiRif">'Riepilogo generale'!$E$31</definedName>
    <definedName name="Riepilogo_CC_RiduzioneDensificazione">'Riepilogo generale'!$E$40</definedName>
    <definedName name="Riepilogo_CC_RiduzionePianoCasa">'Riepilogo generale'!$E$39</definedName>
    <definedName name="Riepilogo_CC_SanzioneSmaltimentoRifiuti">'Riepilogo generale'!#REF!</definedName>
    <definedName name="Riepilogo_ContCostCompresaMagg">'Riepilogo generale'!$E$65</definedName>
    <definedName name="Riepilogo_Contributo_costruzione">'Riepilogo generale'!$E$52</definedName>
    <definedName name="Riepilogo_CostoCostEsclusoSott">'Riepilogo generale'!$E$36</definedName>
    <definedName name="Riepilogo_CostoCostruzione">'Riepilogo generale'!$E$42</definedName>
    <definedName name="Riepilogo_CostoCostruzione_StatoFattoProgetto">'Riepilogo generale'!$E$48</definedName>
    <definedName name="Riepilogo_CostoCostruzione_totale">'Riepilogo generale'!$E$50</definedName>
    <definedName name="Riepilogo_CostoCostSott">'Riepilogo generale'!$E$37</definedName>
    <definedName name="Riepilogo_DirittiTecnici">'Riepilogo generale'!$E$62</definedName>
    <definedName name="Riepilogo_MaggCostoCostConsumoSuolo">'Riepilogo generale'!$E$59</definedName>
    <definedName name="Riepilogo_MaggCostoCostSott">'Riepilogo generale'!$E$38</definedName>
    <definedName name="Riepilogo_MaggCostoStFattoCostConsumoSuolo">Solo1!$U$2</definedName>
    <definedName name="Riepilogo_MaggOneriUrbPrimConsumoSuolo">'Riepilogo generale'!#REF!</definedName>
    <definedName name="Riepilogo_MaggOneriUrbPrimSott">'Riepilogo generale'!$E$7</definedName>
    <definedName name="Riepilogo_MaggOneriUrbSecConsumoSuolo">'Riepilogo generale'!#REF!</definedName>
    <definedName name="Riepilogo_MaggOneriUrbSecSott">'Riepilogo generale'!$E$19</definedName>
    <definedName name="Riepilogo_MonetizzAreeStand">'Riepilogo generale'!$E$57</definedName>
    <definedName name="Riepilogo_MonetizzParcheggi">'Riepilogo generale'!$E$58</definedName>
    <definedName name="Riepilogo_Oblazione">'Riepilogo generale'!$E$55</definedName>
    <definedName name="Riepilogo_Oneri_RiduzionePianoCasa">'Riepilogo generale'!#REF!</definedName>
    <definedName name="Riepilogo_Oneri_Urb_Prim_Corrisposti">'Riepilogo generale'!$E$11</definedName>
    <definedName name="Riepilogo_Oneri_Urb_Prim_Scomputo">'Riepilogo generale'!$E$13</definedName>
    <definedName name="Riepilogo_Oneri_Urb_Sec_Corrisposti">'Riepilogo generale'!$E$23</definedName>
    <definedName name="Riepilogo_Oneri_Urb_Sec_Scomputo">'Riepilogo generale'!$E$25</definedName>
    <definedName name="Riepilogo_OneriSecPrim">'Riepilogo generale'!$E$26</definedName>
    <definedName name="Riepilogo_OneriSmaltRifiutiCambioUso">'Riepilogo generale'!$E$29</definedName>
    <definedName name="Riepilogo_OneriSmaltRifiutiRif">'Riepilogo generale'!$E$28</definedName>
    <definedName name="Riepilogo_OneriUrbanizzazione">'Riepilogo generale'!$E$33</definedName>
    <definedName name="Riepilogo_OneriUrbPrim">'Riepilogo generale'!$E$14</definedName>
    <definedName name="Riepilogo_OneriUrbPrimCambioUso">'Riepilogo generale'!$E$5</definedName>
    <definedName name="Riepilogo_OneriUrbPrimEsclusoSott">'Riepilogo generale'!$E$4</definedName>
    <definedName name="Riepilogo_OneriUrbPrimSott">'Riepilogo generale'!$E$6</definedName>
    <definedName name="Riepilogo_OneriUrbSecCambioUso">'Riepilogo generale'!$E$17</definedName>
    <definedName name="Riepilogo_OneriUrbSecEsclusoSott">'Riepilogo generale'!$E$16</definedName>
    <definedName name="Riepilogo_OneriUrbSecSott">'Riepilogo generale'!$E$18</definedName>
    <definedName name="Riepilogo_OnUrb_AltriCosti_ValoreMaggCostoCAreeAgr">'Riepilogo generale'!$E$60</definedName>
    <definedName name="Riepilogo_OpereUrbPrimRealizzate">'Riepilogo generale'!$E$12</definedName>
    <definedName name="Riepilogo_OpereUrbSecRealizzate">'Riepilogo generale'!$E$24</definedName>
    <definedName name="Riepilogo_RiduDensificazioneOneriUrbPrim">'Riepilogo generale'!$E$9</definedName>
    <definedName name="Riepilogo_RiduDensificazioneOneriUrbSec">'Riepilogo generale'!$E$21</definedName>
    <definedName name="Riepilogo_RiduPianoCasaOneriUrbPrim">'Riepilogo generale'!$E$8</definedName>
    <definedName name="Riepilogo_RiduPianoCasaOneriUrbSec">'Riepilogo generale'!$E$20</definedName>
    <definedName name="Riepilogo_RiduRispEnerOup">'Riepilogo generale'!$E$10</definedName>
    <definedName name="Riepilogo_RiduRispEnerOus">'Riepilogo generale'!$E$22</definedName>
    <definedName name="Riepilogo_RiduSostituzioneOneriUrbPrim">'Riepilogo generale'!#REF!</definedName>
    <definedName name="Riepilogo_RiduSostituzioneOneriUrbSec">'Riepilogo generale'!#REF!</definedName>
    <definedName name="Riepilogo_Sanzione">'Riepilogo generale'!$E$56</definedName>
    <definedName name="Riepilogo_SanzioneCostoCostruzione">'Riepilogo generale'!#REF!</definedName>
    <definedName name="Riepilogo_SanzioneOneriUrbPrim">'Riepilogo generale'!#REF!</definedName>
    <definedName name="Riepilogo_SanzioneOneriUrbSec">'Riepilogo generale'!#REF!</definedName>
    <definedName name="Riepilogo_SmaltimRif_Corrisposti">'Riepilogo generale'!$E$30</definedName>
    <definedName name="Riepilogo_ulteriori_oneri">'Riepilogo generale'!#REF!</definedName>
    <definedName name="RiepilogoCostoCostruzione_StatoFattoProgetto_Corrisposto">'Riepilogo generale'!$E$47</definedName>
    <definedName name="RiepilogoCostoCostruzione_StatoFattoProgetto_Densifcazione">'Riepilogo generale'!$E$46</definedName>
    <definedName name="RiepilogoCostoCostruzione_StatoFattoProgetto_Dovuto">'Riepilogo generale'!$E$44</definedName>
    <definedName name="RiepilogoCostoCostruzione_StatoFattoProgetto_PianoCasa">'Riepilogo generale'!$E$45</definedName>
    <definedName name="RisparmioEnergetico_VolumeNettoResid" localSheetId="6">'Descrizione dell''intervento'!#REF!</definedName>
    <definedName name="RisparmioEnergetico_VolumeNettoResid" localSheetId="7">'Descrizione dell''intervento'!#REF!</definedName>
    <definedName name="RisparmioEnergetico_VolumeNettoResid" localSheetId="5">'Descrizione dell''intervento'!#REF!</definedName>
    <definedName name="RisparmioEnergetico_VolumeNettoResid">'Descrizione dell''intervento'!#REF!</definedName>
    <definedName name="RistruttEdil_IndusAlberg_CambioDest">'Descrizione dell''intervento'!$G$95</definedName>
    <definedName name="selezione_ampliamento">'Procedura guidata'!$L$8</definedName>
    <definedName name="selezione_calcolo_completo">'Procedura guidata'!#REF!</definedName>
    <definedName name="selezione_cambio_uso">'Procedura guidata'!$AQ$8</definedName>
    <definedName name="selezione_costo_costr_comp_nuova_costruzione">'Procedura guidata'!#REF!</definedName>
    <definedName name="selezione_costo_costr_comp_ristrutturazione">'Procedura guidata'!#REF!</definedName>
    <definedName name="selezione_costo_costr_standard_ampliamento">'Procedura guidata'!#REF!</definedName>
    <definedName name="selezione_costo_costr_standard_cambio_uso">'Procedura guidata'!#REF!</definedName>
    <definedName name="selezione_costo_costr_standard_nuova_costruzione">'Procedura guidata'!#REF!</definedName>
    <definedName name="selezione_costo_costr_standard_ristrutturazione">'Procedura guidata'!#REF!</definedName>
    <definedName name="selezione_costo_costr_standard_sottotetti">'Procedura guidata'!#REF!</definedName>
    <definedName name="selezione_descrizione_intervento">'Procedura guidata'!#REF!</definedName>
    <definedName name="selezione_monetizzazione_ampliamento">'Procedura guidata'!#REF!</definedName>
    <definedName name="selezione_monetizzazione_cambio_uso">'Procedura guidata'!#REF!</definedName>
    <definedName name="selezione_monetizzazione_nuova_costr">'Procedura guidata'!#REF!</definedName>
    <definedName name="selezione_monetizzazione_sottotetti">'Procedura guidata'!#REF!</definedName>
    <definedName name="selezione_nuova_costr_calcolo_costo">'Procedura guidata'!#REF!</definedName>
    <definedName name="selezione_nuova_costr_classe">'Procedura guidata'!#REF!</definedName>
    <definedName name="selezione_nuova_costr_progetto">'Procedura guidata'!$D$38</definedName>
    <definedName name="selezione_nuova_costr_stato_fatto">'Procedura guidata'!$D$34</definedName>
    <definedName name="selezione_nuova_costruzione">'Procedura guidata'!$B$8</definedName>
    <definedName name="selezione_oneri_ampliamento">'Procedura guidata'!#REF!</definedName>
    <definedName name="selezione_oneri_cambio_uso">'Procedura guidata'!#REF!</definedName>
    <definedName name="selezione_oneri_nuova_costruzione">'Procedura guidata'!#REF!</definedName>
    <definedName name="selezione_oneri_ristrutturazione">'Procedura guidata'!#REF!</definedName>
    <definedName name="selezione_oneri_sottotetti">'Procedura guidata'!#REF!</definedName>
    <definedName name="selezione_parcheggi_sottotetti">'Procedura guidata'!#REF!</definedName>
    <definedName name="selezione_passo_descrizione_intervento">'Procedura guidata'!$W$3</definedName>
    <definedName name="selezione_ristrutt_calcolo_costo">'Procedura guidata'!#REF!</definedName>
    <definedName name="selezione_ristrutt_classe">'Procedura guidata'!#REF!</definedName>
    <definedName name="selezione_ristrutt_progetto">'Procedura guidata'!#REF!</definedName>
    <definedName name="selezione_ristrutt_stato_fatto">'Procedura guidata'!#REF!</definedName>
    <definedName name="selezione_ristrutturazione">'Procedura guidata'!$V$8</definedName>
    <definedName name="selezione_sottotetti">'Procedura guidata'!$AG$8</definedName>
    <definedName name="smalt_rifiuti_dest_finale">'Riepilogo oneri e costi'!$J$145</definedName>
    <definedName name="smalt_rifiuti_dest_iniziale">'Riepilogo oneri e costi'!$F$145</definedName>
    <definedName name="SmaltimRif_Corrisposti">'Descrizione dell''intervento'!$G$20</definedName>
    <definedName name="Solo1_DirittoSegreteria" localSheetId="7">Solo1!#REF!</definedName>
    <definedName name="Sostituzione">'Descrizione dell''intervento'!#REF!</definedName>
    <definedName name="Test">Parametri!$K$88:$O$92</definedName>
    <definedName name="Totale_alloggi_edificio">'Calcolo superfici edificio'!$O$74</definedName>
    <definedName name="Totale_snr_edificio">'Calcolo superfici edificio'!$O$76</definedName>
    <definedName name="Totale_sua_edificio">'Calcolo superfici edificio'!$O$75</definedName>
    <definedName name="TotaleIncrementi" localSheetId="6">'Riepilogo generale'!$E$68</definedName>
    <definedName name="TotaleIncrementi" localSheetId="7">'Riepilogo generale'!$E$68</definedName>
    <definedName name="TotaleIncrementi" localSheetId="5">'Riepilogo generale'!$E$68</definedName>
    <definedName name="TotaleIncrementi">'Riepilogo generale'!$E$68</definedName>
    <definedName name="UIrecuperate">'Riepilogo generale'!$E$80</definedName>
    <definedName name="Volume_Recupero_Sottotetti">'Calcolo superficie parcheggio'!$C$23</definedName>
    <definedName name="Zona1">Parametri!$B$54</definedName>
    <definedName name="Zona10">Parametri!$B$63</definedName>
    <definedName name="Zona11">Parametri!$B$64</definedName>
    <definedName name="Zona12">Parametri!$B$65</definedName>
    <definedName name="Zona13">Parametri!$B$66</definedName>
    <definedName name="Zona14">Parametri!$B$67</definedName>
    <definedName name="Zona15">Parametri!$B$68</definedName>
    <definedName name="Zona2">Parametri!$B$55</definedName>
    <definedName name="Zona3">Parametri!$B$56</definedName>
    <definedName name="Zona4">Parametri!$B$57</definedName>
    <definedName name="Zona5">Parametri!$B$58</definedName>
    <definedName name="Zona6">Parametri!$B$59</definedName>
    <definedName name="Zona7">Parametri!$B$60</definedName>
    <definedName name="Zona8">Parametri!$B$61</definedName>
    <definedName name="Zona9">Parametri!$B$62</definedName>
    <definedName name="ZonaMonetizzazioneAreeStand">'Descrizione dell''intervento'!$G$98</definedName>
    <definedName name="ZonaMonetizzazioneAreeStand_Valore">'Riepilogo oneri e costi'!$S$189</definedName>
    <definedName name="ZonaMonetizzazioneParcheg">'Descrizione dell''intervento'!$G$104</definedName>
    <definedName name="ZonaMonetizzazioneParcheggi_Valore">'Riepilogo oneri e costi'!$S$190</definedName>
    <definedName name="ZonaTerritoriale">'Descrizione dell''intervento'!$G$3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0" i="2" l="1"/>
  <c r="S189" i="2"/>
  <c r="Q74" i="2"/>
  <c r="Q64" i="2"/>
  <c r="E8" i="13" s="1"/>
  <c r="D8" i="13" s="1"/>
  <c r="B1" i="1"/>
  <c r="L8" i="2"/>
  <c r="L56" i="2"/>
  <c r="L52" i="2"/>
  <c r="L48" i="2"/>
  <c r="L44" i="2"/>
  <c r="L40" i="2"/>
  <c r="L32" i="2"/>
  <c r="L28" i="2"/>
  <c r="L20" i="2"/>
  <c r="L16" i="2"/>
  <c r="L4" i="2"/>
  <c r="B78" i="1"/>
  <c r="B77" i="1"/>
  <c r="B76" i="1"/>
  <c r="B75" i="1"/>
  <c r="B74" i="1"/>
  <c r="B73" i="1"/>
  <c r="B72" i="1"/>
  <c r="B71" i="1"/>
  <c r="B70" i="1"/>
  <c r="B69" i="1"/>
  <c r="B68" i="1"/>
  <c r="B67" i="1"/>
  <c r="I66" i="1"/>
  <c r="B66" i="1"/>
  <c r="H36" i="2"/>
  <c r="S21" i="20"/>
  <c r="B46" i="1"/>
  <c r="F5" i="20"/>
  <c r="F4" i="20"/>
  <c r="Q170" i="2"/>
  <c r="E41" i="13" s="1"/>
  <c r="D41" i="13"/>
  <c r="P186" i="2"/>
  <c r="D59" i="13"/>
  <c r="H16" i="2"/>
  <c r="Q187" i="2"/>
  <c r="E60" i="13" s="1"/>
  <c r="B30" i="19"/>
  <c r="K6" i="19"/>
  <c r="L24" i="19"/>
  <c r="L15" i="19"/>
  <c r="N25" i="20"/>
  <c r="O40" i="19"/>
  <c r="G25" i="20"/>
  <c r="G32" i="29"/>
  <c r="F32" i="29"/>
  <c r="E32" i="29"/>
  <c r="M23" i="19"/>
  <c r="P12" i="20"/>
  <c r="P11" i="20"/>
  <c r="P10" i="20"/>
  <c r="H2" i="12"/>
  <c r="I2" i="12"/>
  <c r="Q68" i="2"/>
  <c r="E12" i="13"/>
  <c r="G227" i="29"/>
  <c r="I407" i="29"/>
  <c r="H407" i="29"/>
  <c r="G407" i="29"/>
  <c r="F407" i="29"/>
  <c r="M60" i="29" s="1"/>
  <c r="I392" i="29"/>
  <c r="H392" i="29"/>
  <c r="G392" i="29"/>
  <c r="F392" i="29"/>
  <c r="I377" i="29"/>
  <c r="H377" i="29"/>
  <c r="G377" i="29"/>
  <c r="F377" i="29"/>
  <c r="N58" i="29" s="1"/>
  <c r="I362" i="29"/>
  <c r="H362" i="29"/>
  <c r="G362" i="29"/>
  <c r="F362" i="29"/>
  <c r="K57" i="29"/>
  <c r="L57" i="29"/>
  <c r="I347" i="29"/>
  <c r="H347" i="29"/>
  <c r="G347" i="29"/>
  <c r="F347" i="29"/>
  <c r="L56" i="29" s="1"/>
  <c r="K56" i="29"/>
  <c r="I332" i="29"/>
  <c r="H332" i="29"/>
  <c r="G332" i="29"/>
  <c r="F332" i="29"/>
  <c r="K55" i="29" s="1"/>
  <c r="I317" i="29"/>
  <c r="H317" i="29"/>
  <c r="G317" i="29"/>
  <c r="F317" i="29"/>
  <c r="L54" i="29"/>
  <c r="M54" i="29"/>
  <c r="I302" i="29"/>
  <c r="H302" i="29"/>
  <c r="G302" i="29"/>
  <c r="F302" i="29"/>
  <c r="L53" i="29" s="1"/>
  <c r="I287" i="29"/>
  <c r="H287" i="29"/>
  <c r="G287" i="29"/>
  <c r="F287" i="29"/>
  <c r="L52" i="29" s="1"/>
  <c r="I272" i="29"/>
  <c r="H272" i="29"/>
  <c r="G272" i="29"/>
  <c r="F272" i="29"/>
  <c r="M51" i="29" s="1"/>
  <c r="O51" i="29"/>
  <c r="I257" i="29"/>
  <c r="H257" i="29"/>
  <c r="G257" i="29"/>
  <c r="F257" i="29"/>
  <c r="N50" i="29" s="1"/>
  <c r="O50" i="29"/>
  <c r="I242" i="29"/>
  <c r="H242" i="29"/>
  <c r="G242" i="29"/>
  <c r="F242" i="29"/>
  <c r="K49" i="29"/>
  <c r="L49" i="29"/>
  <c r="I227" i="29"/>
  <c r="H227" i="29"/>
  <c r="F227" i="29"/>
  <c r="K48" i="29" s="1"/>
  <c r="I212" i="29"/>
  <c r="H212" i="29"/>
  <c r="G212" i="29"/>
  <c r="F212" i="29"/>
  <c r="K47" i="29"/>
  <c r="N47" i="29"/>
  <c r="I197" i="29"/>
  <c r="H197" i="29"/>
  <c r="G197" i="29"/>
  <c r="F197" i="29"/>
  <c r="N46" i="29" s="1"/>
  <c r="I182" i="29"/>
  <c r="H182" i="29"/>
  <c r="I167" i="29"/>
  <c r="H167" i="29"/>
  <c r="I152" i="29"/>
  <c r="H152" i="29"/>
  <c r="I137" i="29"/>
  <c r="H137" i="29"/>
  <c r="I122" i="29"/>
  <c r="H122" i="29"/>
  <c r="I107" i="29"/>
  <c r="H107" i="29"/>
  <c r="I92" i="29"/>
  <c r="H92" i="29"/>
  <c r="O70" i="29" s="1"/>
  <c r="F18" i="19" s="1"/>
  <c r="I77" i="29"/>
  <c r="G16" i="29" s="1"/>
  <c r="H77" i="29"/>
  <c r="I62" i="29"/>
  <c r="H62" i="29"/>
  <c r="I47" i="29"/>
  <c r="H47" i="29"/>
  <c r="G182" i="29"/>
  <c r="F182" i="29"/>
  <c r="L45" i="29" s="1"/>
  <c r="G167" i="29"/>
  <c r="F167" i="29"/>
  <c r="M44" i="29"/>
  <c r="G152" i="29"/>
  <c r="O68" i="29" s="1"/>
  <c r="F152" i="29"/>
  <c r="N43" i="29" s="1"/>
  <c r="G137" i="29"/>
  <c r="F137" i="29"/>
  <c r="N42" i="29"/>
  <c r="G122" i="29"/>
  <c r="F122" i="29"/>
  <c r="O41" i="29" s="1"/>
  <c r="G107" i="29"/>
  <c r="F107" i="29"/>
  <c r="M40" i="29"/>
  <c r="G92" i="29"/>
  <c r="F92" i="29"/>
  <c r="N39" i="29" s="1"/>
  <c r="O39" i="29"/>
  <c r="G77" i="29"/>
  <c r="F77" i="29"/>
  <c r="G62" i="29"/>
  <c r="F62" i="29"/>
  <c r="M37" i="29" s="1"/>
  <c r="G47" i="29"/>
  <c r="G14" i="29" s="1"/>
  <c r="F47" i="29"/>
  <c r="E24" i="13"/>
  <c r="Q78" i="2"/>
  <c r="F2" i="12"/>
  <c r="Q83" i="2"/>
  <c r="E30" i="13"/>
  <c r="N40" i="17"/>
  <c r="N40" i="7"/>
  <c r="N21" i="20"/>
  <c r="O37" i="19"/>
  <c r="Q178" i="2"/>
  <c r="E47" i="13" s="1"/>
  <c r="I82" i="1"/>
  <c r="I50" i="1"/>
  <c r="I42" i="1"/>
  <c r="I13" i="1"/>
  <c r="I26" i="1"/>
  <c r="G29" i="28"/>
  <c r="G37" i="28"/>
  <c r="F29" i="28"/>
  <c r="E29" i="28"/>
  <c r="D18" i="28"/>
  <c r="G46" i="1"/>
  <c r="B22" i="13"/>
  <c r="B10" i="13"/>
  <c r="P67" i="2"/>
  <c r="P77" i="2"/>
  <c r="P76" i="2"/>
  <c r="P66" i="2"/>
  <c r="D22" i="13"/>
  <c r="D10" i="13"/>
  <c r="S36" i="20"/>
  <c r="L3" i="19"/>
  <c r="K3" i="19"/>
  <c r="H52" i="2"/>
  <c r="B62" i="1"/>
  <c r="B61" i="1"/>
  <c r="B94" i="1"/>
  <c r="B93" i="1"/>
  <c r="H138" i="2"/>
  <c r="H134" i="2"/>
  <c r="D138" i="2"/>
  <c r="D134" i="2"/>
  <c r="B138" i="2"/>
  <c r="B134" i="2"/>
  <c r="D56" i="2"/>
  <c r="D52" i="2"/>
  <c r="B56" i="2"/>
  <c r="B52" i="2"/>
  <c r="B38" i="1"/>
  <c r="B37" i="1"/>
  <c r="AP2" i="22"/>
  <c r="AM2" i="22"/>
  <c r="E80" i="13"/>
  <c r="D47" i="13"/>
  <c r="D23" i="13"/>
  <c r="D11" i="13"/>
  <c r="B4" i="2"/>
  <c r="E20" i="7"/>
  <c r="E26" i="7"/>
  <c r="E27" i="7" s="1"/>
  <c r="P178" i="2"/>
  <c r="K46" i="17"/>
  <c r="N46" i="17" s="1"/>
  <c r="K46" i="7"/>
  <c r="N46" i="7" s="1"/>
  <c r="M33" i="20"/>
  <c r="H164" i="2" s="1"/>
  <c r="F33" i="20"/>
  <c r="G33" i="20" s="1"/>
  <c r="F164" i="2" s="1"/>
  <c r="B46" i="22"/>
  <c r="B43" i="22"/>
  <c r="B40" i="22"/>
  <c r="B37" i="22"/>
  <c r="B34" i="22"/>
  <c r="B31" i="22"/>
  <c r="B28" i="22"/>
  <c r="B25" i="22"/>
  <c r="B19" i="22"/>
  <c r="B16" i="22"/>
  <c r="B13" i="22"/>
  <c r="B10" i="22"/>
  <c r="B7" i="22"/>
  <c r="B4" i="22"/>
  <c r="L37" i="2" s="1"/>
  <c r="B22" i="22"/>
  <c r="B118" i="2"/>
  <c r="B114" i="2"/>
  <c r="B110" i="2"/>
  <c r="B106" i="2"/>
  <c r="B102" i="2"/>
  <c r="B98" i="2"/>
  <c r="B94" i="2"/>
  <c r="B90" i="2"/>
  <c r="B32" i="2"/>
  <c r="B28" i="2"/>
  <c r="B24" i="2"/>
  <c r="B20" i="2"/>
  <c r="B16" i="2"/>
  <c r="B12" i="2"/>
  <c r="B8" i="2"/>
  <c r="B33" i="1"/>
  <c r="B32" i="1"/>
  <c r="B31" i="1"/>
  <c r="B30" i="1"/>
  <c r="B29" i="1"/>
  <c r="B28" i="1"/>
  <c r="B27" i="1"/>
  <c r="B26" i="1"/>
  <c r="B89" i="1"/>
  <c r="B88" i="1"/>
  <c r="B87" i="1"/>
  <c r="B86" i="1"/>
  <c r="B85" i="1"/>
  <c r="B84" i="1"/>
  <c r="B83" i="1"/>
  <c r="B82" i="1"/>
  <c r="B57" i="1"/>
  <c r="B56" i="1"/>
  <c r="B55" i="1"/>
  <c r="B54" i="1"/>
  <c r="B53" i="1"/>
  <c r="B52" i="1"/>
  <c r="B51" i="1"/>
  <c r="B50" i="1"/>
  <c r="AA2" i="22"/>
  <c r="X2" i="22"/>
  <c r="U2" i="22"/>
  <c r="R2" i="22"/>
  <c r="O2" i="22"/>
  <c r="L2" i="22"/>
  <c r="I2" i="22"/>
  <c r="C2" i="22"/>
  <c r="C23" i="23"/>
  <c r="D2" i="12"/>
  <c r="E2" i="12"/>
  <c r="AD2" i="22"/>
  <c r="AG2" i="22"/>
  <c r="AJ2" i="22"/>
  <c r="C136" i="22"/>
  <c r="C137" i="22"/>
  <c r="C138" i="22"/>
  <c r="C139" i="22"/>
  <c r="C140" i="22"/>
  <c r="C141" i="22"/>
  <c r="C142" i="22"/>
  <c r="C143" i="22"/>
  <c r="C144" i="22"/>
  <c r="C145" i="22"/>
  <c r="C150" i="22"/>
  <c r="C151" i="22"/>
  <c r="C152" i="22"/>
  <c r="C153" i="22"/>
  <c r="C154" i="22"/>
  <c r="C155" i="22"/>
  <c r="C156" i="22"/>
  <c r="C157" i="22"/>
  <c r="C158" i="22"/>
  <c r="C159" i="22"/>
  <c r="B4" i="23"/>
  <c r="B5" i="23"/>
  <c r="B6" i="23"/>
  <c r="B7" i="23"/>
  <c r="D4" i="23"/>
  <c r="D5" i="23"/>
  <c r="D6" i="23"/>
  <c r="D7" i="23"/>
  <c r="B8" i="23"/>
  <c r="D8" i="23"/>
  <c r="D23" i="23" s="1"/>
  <c r="E81" i="13" s="1"/>
  <c r="B9" i="23"/>
  <c r="D9" i="23"/>
  <c r="B10" i="23"/>
  <c r="D10" i="23"/>
  <c r="B11" i="23"/>
  <c r="D11" i="23"/>
  <c r="B12" i="23"/>
  <c r="D12" i="23"/>
  <c r="B13" i="23"/>
  <c r="D13" i="23"/>
  <c r="B14" i="23"/>
  <c r="D14" i="23"/>
  <c r="B15" i="23"/>
  <c r="D15" i="23"/>
  <c r="B16" i="23"/>
  <c r="D16" i="23"/>
  <c r="B17" i="23"/>
  <c r="D17" i="23"/>
  <c r="B18" i="23"/>
  <c r="D18" i="23"/>
  <c r="B19" i="23"/>
  <c r="D19" i="23"/>
  <c r="B20" i="23"/>
  <c r="D20" i="23"/>
  <c r="B21" i="23"/>
  <c r="D21" i="23"/>
  <c r="B22" i="23"/>
  <c r="D22" i="23"/>
  <c r="H7" i="17"/>
  <c r="J7" i="17" s="1"/>
  <c r="H8" i="17"/>
  <c r="J8" i="17" s="1"/>
  <c r="H9" i="17"/>
  <c r="J9" i="17" s="1"/>
  <c r="H10" i="17"/>
  <c r="J10" i="17"/>
  <c r="E11" i="17"/>
  <c r="E20" i="17"/>
  <c r="H20" i="17" s="1"/>
  <c r="I18" i="17" s="1"/>
  <c r="F20" i="17"/>
  <c r="F26" i="17"/>
  <c r="F28" i="17" s="1"/>
  <c r="F24" i="17"/>
  <c r="I24" i="17"/>
  <c r="K30" i="17" s="1"/>
  <c r="I25" i="17"/>
  <c r="I26" i="17"/>
  <c r="I27" i="17"/>
  <c r="I28" i="17"/>
  <c r="I29" i="17"/>
  <c r="E34" i="17"/>
  <c r="E35" i="17" s="1"/>
  <c r="F34" i="17"/>
  <c r="F36" i="17" s="1"/>
  <c r="H8" i="7"/>
  <c r="J8" i="7" s="1"/>
  <c r="H9" i="7"/>
  <c r="J9" i="7"/>
  <c r="H10" i="7"/>
  <c r="J10" i="7"/>
  <c r="E11" i="7"/>
  <c r="F20" i="7"/>
  <c r="F24" i="7"/>
  <c r="I24" i="7"/>
  <c r="K30" i="7" s="1"/>
  <c r="I25" i="7"/>
  <c r="I26" i="7"/>
  <c r="I27" i="7"/>
  <c r="I28" i="7"/>
  <c r="I29" i="7"/>
  <c r="E34" i="7"/>
  <c r="E35" i="7" s="1"/>
  <c r="F34" i="7"/>
  <c r="F36" i="7" s="1"/>
  <c r="N6" i="20"/>
  <c r="N7" i="20"/>
  <c r="N17" i="20" s="1"/>
  <c r="E73" i="13" s="1"/>
  <c r="S6" i="20"/>
  <c r="S7" i="20"/>
  <c r="S17" i="20" s="1"/>
  <c r="E75" i="13" s="1"/>
  <c r="H12" i="20"/>
  <c r="H14" i="20" s="1"/>
  <c r="G13" i="20"/>
  <c r="G14" i="20" s="1"/>
  <c r="N13" i="20"/>
  <c r="N14" i="20"/>
  <c r="G21" i="20"/>
  <c r="G11" i="19"/>
  <c r="G20" i="19"/>
  <c r="G6" i="20"/>
  <c r="G7" i="20" s="1"/>
  <c r="H20" i="19"/>
  <c r="K24" i="19"/>
  <c r="K25" i="19"/>
  <c r="K26" i="19"/>
  <c r="K27" i="19"/>
  <c r="K28" i="19"/>
  <c r="K29" i="19"/>
  <c r="O34" i="19"/>
  <c r="B4" i="1"/>
  <c r="B34" i="1"/>
  <c r="B35" i="1"/>
  <c r="B36" i="1"/>
  <c r="H4" i="2"/>
  <c r="H8" i="2"/>
  <c r="H12" i="2"/>
  <c r="H20" i="2"/>
  <c r="L24" i="2"/>
  <c r="H28" i="2"/>
  <c r="B58" i="1"/>
  <c r="H40" i="2"/>
  <c r="B59" i="1"/>
  <c r="H44" i="2"/>
  <c r="B60" i="1"/>
  <c r="H48" i="2"/>
  <c r="B90" i="1"/>
  <c r="B91" i="1"/>
  <c r="B92" i="1"/>
  <c r="B99" i="1"/>
  <c r="B105" i="1"/>
  <c r="D4" i="2"/>
  <c r="D8" i="2"/>
  <c r="D12" i="2"/>
  <c r="D16" i="2"/>
  <c r="F17" i="2" s="1"/>
  <c r="D20" i="2"/>
  <c r="D24" i="2"/>
  <c r="D28" i="2"/>
  <c r="D32" i="2"/>
  <c r="B40" i="2"/>
  <c r="D40" i="2"/>
  <c r="B44" i="2"/>
  <c r="D44" i="2"/>
  <c r="B48" i="2"/>
  <c r="D48" i="2"/>
  <c r="D90" i="2"/>
  <c r="H90" i="2"/>
  <c r="D94" i="2"/>
  <c r="H94" i="2"/>
  <c r="D98" i="2"/>
  <c r="H98" i="2"/>
  <c r="D102" i="2"/>
  <c r="H102" i="2"/>
  <c r="D106" i="2"/>
  <c r="H106" i="2"/>
  <c r="D110" i="2"/>
  <c r="H110" i="2"/>
  <c r="D114" i="2"/>
  <c r="H114" i="2"/>
  <c r="D118" i="2"/>
  <c r="H118" i="2"/>
  <c r="B122" i="2"/>
  <c r="D122" i="2"/>
  <c r="H122" i="2"/>
  <c r="B126" i="2"/>
  <c r="D126" i="2"/>
  <c r="H126" i="2"/>
  <c r="B130" i="2"/>
  <c r="D130" i="2"/>
  <c r="H130" i="2"/>
  <c r="Q67" i="2"/>
  <c r="Q77" i="2"/>
  <c r="P185" i="2"/>
  <c r="E56" i="13" s="1"/>
  <c r="O2" i="12" s="1"/>
  <c r="P189" i="2"/>
  <c r="E57" i="13" s="1"/>
  <c r="P190" i="2"/>
  <c r="E58" i="13" s="1"/>
  <c r="E11" i="13"/>
  <c r="E23" i="13"/>
  <c r="B56" i="13"/>
  <c r="B60" i="13"/>
  <c r="B61" i="13"/>
  <c r="F25" i="17"/>
  <c r="E26" i="17"/>
  <c r="E27" i="17" s="1"/>
  <c r="L34" i="17" s="1"/>
  <c r="L35" i="17" s="1"/>
  <c r="F25" i="7"/>
  <c r="F26" i="7"/>
  <c r="F28" i="7"/>
  <c r="H7" i="7"/>
  <c r="J7" i="7"/>
  <c r="Q176" i="2"/>
  <c r="E45" i="13" s="1"/>
  <c r="Q177" i="2"/>
  <c r="P177" i="2" s="1"/>
  <c r="Q168" i="2"/>
  <c r="P168" i="2"/>
  <c r="M49" i="29"/>
  <c r="O49" i="29"/>
  <c r="N49" i="29"/>
  <c r="M56" i="29"/>
  <c r="N48" i="29"/>
  <c r="O48" i="29"/>
  <c r="M50" i="29"/>
  <c r="N53" i="29"/>
  <c r="O56" i="29"/>
  <c r="N56" i="29"/>
  <c r="M47" i="29"/>
  <c r="M55" i="29"/>
  <c r="K50" i="29"/>
  <c r="O54" i="29"/>
  <c r="L50" i="29"/>
  <c r="L43" i="29"/>
  <c r="N41" i="29"/>
  <c r="M41" i="29"/>
  <c r="K41" i="29"/>
  <c r="N40" i="29"/>
  <c r="L40" i="29"/>
  <c r="M43" i="29"/>
  <c r="N45" i="29"/>
  <c r="L41" i="29"/>
  <c r="O40" i="29"/>
  <c r="O43" i="29"/>
  <c r="K43" i="29"/>
  <c r="K40" i="29"/>
  <c r="L38" i="29"/>
  <c r="K39" i="29"/>
  <c r="N37" i="29"/>
  <c r="K37" i="29"/>
  <c r="L37" i="29"/>
  <c r="D17" i="2"/>
  <c r="L33" i="2"/>
  <c r="D43" i="2"/>
  <c r="H55" i="2"/>
  <c r="H33" i="2"/>
  <c r="H57" i="2"/>
  <c r="D19" i="2"/>
  <c r="H24" i="2"/>
  <c r="H56" i="2"/>
  <c r="H32" i="2"/>
  <c r="N51" i="29"/>
  <c r="M59" i="29"/>
  <c r="O46" i="29"/>
  <c r="O38" i="29"/>
  <c r="K46" i="29"/>
  <c r="O45" i="29"/>
  <c r="K59" i="29"/>
  <c r="M53" i="29"/>
  <c r="L46" i="29"/>
  <c r="O42" i="29"/>
  <c r="M46" i="29"/>
  <c r="L55" i="29"/>
  <c r="L42" i="29"/>
  <c r="M45" i="29"/>
  <c r="N55" i="29"/>
  <c r="L51" i="29"/>
  <c r="O55" i="29"/>
  <c r="H6" i="17"/>
  <c r="J6" i="17"/>
  <c r="M30" i="19"/>
  <c r="M39" i="29"/>
  <c r="K44" i="29"/>
  <c r="L44" i="29"/>
  <c r="K54" i="29"/>
  <c r="N54" i="29"/>
  <c r="O47" i="29"/>
  <c r="L39" i="29"/>
  <c r="K42" i="29"/>
  <c r="M52" i="29"/>
  <c r="L48" i="29"/>
  <c r="N44" i="29"/>
  <c r="G15" i="29"/>
  <c r="O52" i="29"/>
  <c r="O60" i="29"/>
  <c r="K51" i="29"/>
  <c r="L60" i="29"/>
  <c r="M42" i="29"/>
  <c r="N57" i="29"/>
  <c r="O44" i="29"/>
  <c r="N38" i="29"/>
  <c r="N52" i="29"/>
  <c r="M48" i="29"/>
  <c r="K60" i="29"/>
  <c r="L47" i="29"/>
  <c r="O53" i="29"/>
  <c r="K45" i="29"/>
  <c r="K53" i="29"/>
  <c r="O57" i="29"/>
  <c r="K52" i="29"/>
  <c r="N60" i="29"/>
  <c r="M57" i="29"/>
  <c r="N36" i="29"/>
  <c r="K36" i="29"/>
  <c r="M36" i="29"/>
  <c r="G17" i="20"/>
  <c r="E71" i="13" s="1"/>
  <c r="H6" i="7"/>
  <c r="J6" i="7" s="1"/>
  <c r="K11" i="7" s="1"/>
  <c r="P170" i="2"/>
  <c r="I16" i="17"/>
  <c r="E39" i="13"/>
  <c r="D39" i="13" s="1"/>
  <c r="D164" i="2"/>
  <c r="R38" i="2"/>
  <c r="R37" i="2"/>
  <c r="Q75" i="2"/>
  <c r="E21" i="13" s="1"/>
  <c r="D21" i="13" s="1"/>
  <c r="Q65" i="2"/>
  <c r="E9" i="13" s="1"/>
  <c r="D9" i="13" s="1"/>
  <c r="Q79" i="2"/>
  <c r="K2" i="12" s="1"/>
  <c r="Q69" i="2"/>
  <c r="E13" i="13" s="1"/>
  <c r="Q186" i="2"/>
  <c r="E59" i="13" s="1"/>
  <c r="Q188" i="2"/>
  <c r="P188" i="2"/>
  <c r="J61" i="13"/>
  <c r="E61" i="13"/>
  <c r="Q169" i="2"/>
  <c r="E40" i="13" s="1"/>
  <c r="P184" i="2"/>
  <c r="E55" i="13"/>
  <c r="P2" i="12"/>
  <c r="P64" i="2" l="1"/>
  <c r="P176" i="2"/>
  <c r="P187" i="2"/>
  <c r="E46" i="13"/>
  <c r="J55" i="2"/>
  <c r="J33" i="2"/>
  <c r="J21" i="2"/>
  <c r="F53" i="2"/>
  <c r="D6" i="19"/>
  <c r="F15" i="19"/>
  <c r="J58" i="2"/>
  <c r="D105" i="2"/>
  <c r="H46" i="2"/>
  <c r="D23" i="2"/>
  <c r="F23" i="2" s="1"/>
  <c r="D92" i="2"/>
  <c r="F92" i="2" s="1"/>
  <c r="I15" i="17"/>
  <c r="K19" i="17" s="1"/>
  <c r="H47" i="2"/>
  <c r="D51" i="2"/>
  <c r="F51" i="2" s="1"/>
  <c r="L11" i="2"/>
  <c r="N11" i="2" s="1"/>
  <c r="M58" i="29"/>
  <c r="O72" i="29"/>
  <c r="F19" i="19" s="1"/>
  <c r="H9" i="2"/>
  <c r="F19" i="2"/>
  <c r="H54" i="2"/>
  <c r="L31" i="2"/>
  <c r="D54" i="2"/>
  <c r="F54" i="2" s="1"/>
  <c r="F43" i="2"/>
  <c r="H29" i="2"/>
  <c r="K58" i="29"/>
  <c r="F46" i="2"/>
  <c r="C63" i="27"/>
  <c r="E79" i="13"/>
  <c r="M38" i="29"/>
  <c r="D8" i="19" s="1"/>
  <c r="K38" i="29"/>
  <c r="H141" i="2"/>
  <c r="H131" i="2"/>
  <c r="J131" i="2" s="1"/>
  <c r="H119" i="2"/>
  <c r="J119" i="2" s="1"/>
  <c r="H108" i="2"/>
  <c r="J108" i="2" s="1"/>
  <c r="H97" i="2"/>
  <c r="D136" i="2"/>
  <c r="F136" i="2" s="1"/>
  <c r="D125" i="2"/>
  <c r="F125" i="2" s="1"/>
  <c r="D116" i="2"/>
  <c r="F116" i="2" s="1"/>
  <c r="D107" i="2"/>
  <c r="F107" i="2" s="1"/>
  <c r="H59" i="2"/>
  <c r="H43" i="2"/>
  <c r="D27" i="2"/>
  <c r="F27" i="2" s="1"/>
  <c r="L42" i="2"/>
  <c r="L57" i="2"/>
  <c r="N57" i="2" s="1"/>
  <c r="D57" i="2"/>
  <c r="F57" i="2" s="1"/>
  <c r="D41" i="2"/>
  <c r="F41" i="2" s="1"/>
  <c r="D26" i="2"/>
  <c r="F26" i="2" s="1"/>
  <c r="L10" i="2"/>
  <c r="N10" i="2" s="1"/>
  <c r="L30" i="2"/>
  <c r="N30" i="2" s="1"/>
  <c r="H53" i="2"/>
  <c r="H140" i="2"/>
  <c r="J140" i="2" s="1"/>
  <c r="H139" i="2"/>
  <c r="H137" i="2"/>
  <c r="H127" i="2"/>
  <c r="J127" i="2" s="1"/>
  <c r="D132" i="2"/>
  <c r="D113" i="2"/>
  <c r="F113" i="2" s="1"/>
  <c r="D95" i="2"/>
  <c r="F95" i="2" s="1"/>
  <c r="H125" i="2"/>
  <c r="J125" i="2" s="1"/>
  <c r="H115" i="2"/>
  <c r="H104" i="2"/>
  <c r="D141" i="2"/>
  <c r="D121" i="2"/>
  <c r="D112" i="2"/>
  <c r="D104" i="2"/>
  <c r="F104" i="2" s="1"/>
  <c r="H136" i="2"/>
  <c r="J136" i="2" s="1"/>
  <c r="H124" i="2"/>
  <c r="H113" i="2"/>
  <c r="H103" i="2"/>
  <c r="J103" i="2" s="1"/>
  <c r="D131" i="2"/>
  <c r="F131" i="2" s="1"/>
  <c r="D103" i="2"/>
  <c r="H135" i="2"/>
  <c r="D140" i="2"/>
  <c r="F140" i="2" s="1"/>
  <c r="D129" i="2"/>
  <c r="F129" i="2" s="1"/>
  <c r="D120" i="2"/>
  <c r="F120" i="2" s="1"/>
  <c r="D111" i="2"/>
  <c r="F111" i="2" s="1"/>
  <c r="D101" i="2"/>
  <c r="F101" i="2" s="1"/>
  <c r="H133" i="2"/>
  <c r="D139" i="2"/>
  <c r="D128" i="2"/>
  <c r="D119" i="2"/>
  <c r="F119" i="2" s="1"/>
  <c r="D109" i="2"/>
  <c r="F109" i="2" s="1"/>
  <c r="D100" i="2"/>
  <c r="D45" i="2"/>
  <c r="F45" i="2" s="1"/>
  <c r="H31" i="2"/>
  <c r="H15" i="2"/>
  <c r="D50" i="2"/>
  <c r="F50" i="2" s="1"/>
  <c r="D11" i="2"/>
  <c r="F11" i="2" s="1"/>
  <c r="H37" i="2"/>
  <c r="J37" i="2" s="1"/>
  <c r="P37" i="2" s="1"/>
  <c r="H30" i="2"/>
  <c r="H14" i="2"/>
  <c r="H13" i="2"/>
  <c r="L23" i="2"/>
  <c r="N23" i="2" s="1"/>
  <c r="D93" i="2"/>
  <c r="F93" i="2" s="1"/>
  <c r="H121" i="2"/>
  <c r="H111" i="2"/>
  <c r="H100" i="2"/>
  <c r="H132" i="2"/>
  <c r="D137" i="2"/>
  <c r="D127" i="2"/>
  <c r="D117" i="2"/>
  <c r="D108" i="2"/>
  <c r="D99" i="2"/>
  <c r="L46" i="2"/>
  <c r="D47" i="2"/>
  <c r="F47" i="2" s="1"/>
  <c r="L9" i="2"/>
  <c r="N9" i="2" s="1"/>
  <c r="L59" i="2"/>
  <c r="L43" i="2"/>
  <c r="D35" i="2"/>
  <c r="D59" i="2"/>
  <c r="H45" i="2"/>
  <c r="L25" i="2"/>
  <c r="N25" i="2" s="1"/>
  <c r="D9" i="2"/>
  <c r="F9" i="2" s="1"/>
  <c r="D34" i="2"/>
  <c r="H58" i="2"/>
  <c r="H42" i="2"/>
  <c r="H27" i="2"/>
  <c r="J27" i="2" s="1"/>
  <c r="H11" i="2"/>
  <c r="J11" i="2" s="1"/>
  <c r="P11" i="2" s="1"/>
  <c r="D18" i="2"/>
  <c r="D91" i="2"/>
  <c r="F91" i="2" s="1"/>
  <c r="H120" i="2"/>
  <c r="H109" i="2"/>
  <c r="J109" i="2" s="1"/>
  <c r="H99" i="2"/>
  <c r="J99" i="2" s="1"/>
  <c r="D97" i="2"/>
  <c r="F97" i="2" s="1"/>
  <c r="D21" i="2"/>
  <c r="D22" i="2"/>
  <c r="F22" i="2" s="1"/>
  <c r="D13" i="2"/>
  <c r="L7" i="2"/>
  <c r="L19" i="2"/>
  <c r="N19" i="2" s="1"/>
  <c r="J124" i="2"/>
  <c r="F105" i="2"/>
  <c r="F103" i="2"/>
  <c r="J137" i="2"/>
  <c r="H101" i="2"/>
  <c r="J101" i="2" s="1"/>
  <c r="F128" i="2"/>
  <c r="H95" i="2"/>
  <c r="H92" i="2"/>
  <c r="J92" i="2" s="1"/>
  <c r="D15" i="2"/>
  <c r="F15" i="2" s="1"/>
  <c r="H18" i="2"/>
  <c r="D42" i="2"/>
  <c r="F42" i="2" s="1"/>
  <c r="F141" i="2"/>
  <c r="H96" i="2"/>
  <c r="J96" i="2" s="1"/>
  <c r="P169" i="2"/>
  <c r="D6" i="2"/>
  <c r="F6" i="2" s="1"/>
  <c r="L26" i="2"/>
  <c r="N26" i="2" s="1"/>
  <c r="L15" i="2"/>
  <c r="D10" i="2"/>
  <c r="F10" i="2" s="1"/>
  <c r="D49" i="2"/>
  <c r="F49" i="2" s="1"/>
  <c r="H21" i="2"/>
  <c r="H49" i="2"/>
  <c r="J49" i="2" s="1"/>
  <c r="F123" i="2"/>
  <c r="J100" i="2"/>
  <c r="F34" i="2"/>
  <c r="F35" i="2"/>
  <c r="J139" i="2"/>
  <c r="J141" i="2"/>
  <c r="G2" i="12"/>
  <c r="D115" i="2"/>
  <c r="F115" i="2" s="1"/>
  <c r="H105" i="2"/>
  <c r="J105" i="2"/>
  <c r="L29" i="2"/>
  <c r="D25" i="2"/>
  <c r="F25" i="2" s="1"/>
  <c r="H17" i="2"/>
  <c r="H39" i="2"/>
  <c r="J39" i="2" s="1"/>
  <c r="P39" i="2" s="1"/>
  <c r="L13" i="2"/>
  <c r="L51" i="2"/>
  <c r="D53" i="2"/>
  <c r="L22" i="2"/>
  <c r="L50" i="2"/>
  <c r="F99" i="2"/>
  <c r="F100" i="2"/>
  <c r="H107" i="2"/>
  <c r="J107" i="2" s="1"/>
  <c r="J57" i="2"/>
  <c r="J59" i="2"/>
  <c r="D40" i="13"/>
  <c r="D46" i="13"/>
  <c r="D7" i="2"/>
  <c r="F7" i="2" s="1"/>
  <c r="D5" i="2"/>
  <c r="F5" i="2" s="1"/>
  <c r="H35" i="2"/>
  <c r="J35" i="2" s="1"/>
  <c r="L27" i="2"/>
  <c r="N27" i="2" s="1"/>
  <c r="L18" i="2"/>
  <c r="H19" i="2"/>
  <c r="L54" i="2"/>
  <c r="N54" i="2" s="1"/>
  <c r="P54" i="2" s="1"/>
  <c r="L55" i="2"/>
  <c r="N55" i="2" s="1"/>
  <c r="J120" i="2"/>
  <c r="J121" i="2"/>
  <c r="J95" i="2"/>
  <c r="L59" i="29"/>
  <c r="N59" i="29"/>
  <c r="O59" i="29"/>
  <c r="H112" i="2"/>
  <c r="J112" i="2" s="1"/>
  <c r="L45" i="2"/>
  <c r="H22" i="2"/>
  <c r="J22" i="2" s="1"/>
  <c r="L58" i="2"/>
  <c r="D30" i="2"/>
  <c r="F30" i="2" s="1"/>
  <c r="D55" i="2"/>
  <c r="F55" i="2" s="1"/>
  <c r="F121" i="2"/>
  <c r="F21" i="2"/>
  <c r="J7" i="2"/>
  <c r="J6" i="2"/>
  <c r="R6" i="2" s="1"/>
  <c r="E22" i="13" s="1"/>
  <c r="P74" i="2"/>
  <c r="E20" i="13"/>
  <c r="D20" i="13" s="1"/>
  <c r="D123" i="2"/>
  <c r="H116" i="2"/>
  <c r="J116" i="2" s="1"/>
  <c r="F137" i="2"/>
  <c r="H91" i="2"/>
  <c r="J91" i="2" s="1"/>
  <c r="L34" i="2"/>
  <c r="L38" i="2"/>
  <c r="D46" i="2"/>
  <c r="H25" i="2"/>
  <c r="L14" i="2"/>
  <c r="L6" i="2"/>
  <c r="N6" i="2" s="1"/>
  <c r="P6" i="2" s="1"/>
  <c r="L53" i="2"/>
  <c r="O58" i="29"/>
  <c r="J115" i="2"/>
  <c r="F18" i="2"/>
  <c r="K11" i="17"/>
  <c r="K32" i="17" s="1"/>
  <c r="L34" i="7"/>
  <c r="L35" i="7" s="1"/>
  <c r="L36" i="29"/>
  <c r="O36" i="29"/>
  <c r="D124" i="2"/>
  <c r="F124" i="2" s="1"/>
  <c r="H117" i="2"/>
  <c r="J117" i="2" s="1"/>
  <c r="H38" i="2"/>
  <c r="J38" i="2" s="1"/>
  <c r="P38" i="2" s="1"/>
  <c r="K61" i="29"/>
  <c r="L5" i="2"/>
  <c r="L47" i="2"/>
  <c r="H41" i="2"/>
  <c r="J41" i="2" s="1"/>
  <c r="L21" i="2"/>
  <c r="L17" i="2"/>
  <c r="N17" i="2" s="1"/>
  <c r="D33" i="2"/>
  <c r="F33" i="2" s="1"/>
  <c r="J133" i="2"/>
  <c r="F117" i="2"/>
  <c r="H20" i="7"/>
  <c r="J54" i="2"/>
  <c r="J53" i="2"/>
  <c r="H123" i="2"/>
  <c r="J123" i="2" s="1"/>
  <c r="L39" i="2"/>
  <c r="H6" i="2"/>
  <c r="H50" i="2"/>
  <c r="J50" i="2" s="1"/>
  <c r="D31" i="2"/>
  <c r="F31" i="2" s="1"/>
  <c r="H23" i="2"/>
  <c r="J23" i="2" s="1"/>
  <c r="D58" i="2"/>
  <c r="F58" i="2" s="1"/>
  <c r="F132" i="2"/>
  <c r="J113" i="2"/>
  <c r="F59" i="2"/>
  <c r="D133" i="2"/>
  <c r="H128" i="2"/>
  <c r="J128" i="2" s="1"/>
  <c r="I17" i="17"/>
  <c r="L41" i="2"/>
  <c r="N41" i="2" s="1"/>
  <c r="H93" i="2"/>
  <c r="J93" i="2" s="1"/>
  <c r="N61" i="29"/>
  <c r="H5" i="2"/>
  <c r="J5" i="2" s="1"/>
  <c r="H34" i="2"/>
  <c r="J34" i="2" s="1"/>
  <c r="D9" i="19"/>
  <c r="J97" i="2"/>
  <c r="J104" i="2"/>
  <c r="L58" i="29"/>
  <c r="H7" i="2"/>
  <c r="H10" i="2"/>
  <c r="J10" i="2" s="1"/>
  <c r="H51" i="2"/>
  <c r="J51" i="2" s="1"/>
  <c r="D29" i="2"/>
  <c r="F29" i="2" s="1"/>
  <c r="L49" i="2"/>
  <c r="H26" i="2"/>
  <c r="J26" i="2" s="1"/>
  <c r="D14" i="2"/>
  <c r="F14" i="2" s="1"/>
  <c r="L35" i="2"/>
  <c r="F112" i="2"/>
  <c r="D96" i="2"/>
  <c r="F96" i="2" s="1"/>
  <c r="D135" i="2"/>
  <c r="F135" i="2" s="1"/>
  <c r="H129" i="2"/>
  <c r="J129" i="2" s="1"/>
  <c r="O37" i="29"/>
  <c r="F108" i="2"/>
  <c r="F127" i="2"/>
  <c r="J132" i="2"/>
  <c r="F133" i="2"/>
  <c r="F13" i="2"/>
  <c r="J111" i="2"/>
  <c r="F139" i="2"/>
  <c r="T2" i="12"/>
  <c r="J135" i="2"/>
  <c r="X2" i="12"/>
  <c r="C58" i="27"/>
  <c r="Y2" i="12"/>
  <c r="C57" i="27"/>
  <c r="N33" i="20"/>
  <c r="J164" i="2" s="1"/>
  <c r="H162" i="2"/>
  <c r="N18" i="2"/>
  <c r="J13" i="2"/>
  <c r="J14" i="2"/>
  <c r="J15" i="2"/>
  <c r="J9" i="2"/>
  <c r="J18" i="2"/>
  <c r="J17" i="2"/>
  <c r="J19" i="2"/>
  <c r="P65" i="2"/>
  <c r="L12" i="2"/>
  <c r="P75" i="2"/>
  <c r="J2" i="12"/>
  <c r="P191" i="2"/>
  <c r="N33" i="2"/>
  <c r="N34" i="2"/>
  <c r="N35" i="2"/>
  <c r="N42" i="2"/>
  <c r="N43" i="2"/>
  <c r="J42" i="2"/>
  <c r="J43" i="2"/>
  <c r="J31" i="2"/>
  <c r="J30" i="2"/>
  <c r="J29" i="2"/>
  <c r="N22" i="2"/>
  <c r="N21" i="2"/>
  <c r="P21" i="2" s="1"/>
  <c r="N47" i="2"/>
  <c r="N45" i="2"/>
  <c r="N46" i="2"/>
  <c r="J47" i="2"/>
  <c r="J46" i="2"/>
  <c r="J45" i="2"/>
  <c r="N5" i="2"/>
  <c r="N7" i="2"/>
  <c r="N49" i="2"/>
  <c r="N50" i="2"/>
  <c r="N51" i="2"/>
  <c r="N53" i="2"/>
  <c r="U2" i="12"/>
  <c r="E63" i="13"/>
  <c r="N31" i="2"/>
  <c r="N29" i="2"/>
  <c r="N59" i="2"/>
  <c r="N58" i="2"/>
  <c r="E25" i="13"/>
  <c r="J25" i="2"/>
  <c r="P10" i="2" l="1"/>
  <c r="P53" i="2"/>
  <c r="P58" i="2"/>
  <c r="P55" i="2"/>
  <c r="P33" i="2"/>
  <c r="P57" i="2"/>
  <c r="P51" i="2"/>
  <c r="M32" i="17"/>
  <c r="N41" i="17" s="1"/>
  <c r="N42" i="17" s="1"/>
  <c r="K45" i="17"/>
  <c r="N45" i="17" s="1"/>
  <c r="L32" i="17"/>
  <c r="K44" i="17"/>
  <c r="P26" i="2"/>
  <c r="P27" i="2"/>
  <c r="P23" i="2"/>
  <c r="P25" i="2"/>
  <c r="E6" i="19"/>
  <c r="G9" i="29"/>
  <c r="F144" i="2"/>
  <c r="P17" i="2"/>
  <c r="P59" i="2"/>
  <c r="P50" i="2"/>
  <c r="P22" i="2"/>
  <c r="Q76" i="2"/>
  <c r="P18" i="2"/>
  <c r="P49" i="2"/>
  <c r="P9" i="2"/>
  <c r="O61" i="29"/>
  <c r="D10" i="19"/>
  <c r="F60" i="2"/>
  <c r="C44" i="27" s="1"/>
  <c r="P35" i="2"/>
  <c r="L61" i="29"/>
  <c r="O75" i="29" s="1"/>
  <c r="D7" i="19"/>
  <c r="O74" i="29" s="1"/>
  <c r="J144" i="2"/>
  <c r="P148" i="2" s="1"/>
  <c r="C47" i="27" s="1"/>
  <c r="F145" i="2"/>
  <c r="I18" i="7"/>
  <c r="I17" i="7"/>
  <c r="I16" i="7"/>
  <c r="I15" i="7"/>
  <c r="K19" i="7" s="1"/>
  <c r="K32" i="7" s="1"/>
  <c r="P7" i="2"/>
  <c r="P34" i="2"/>
  <c r="Q63" i="2"/>
  <c r="E6" i="13"/>
  <c r="R39" i="2"/>
  <c r="C50" i="27" s="1"/>
  <c r="M61" i="29"/>
  <c r="J143" i="2"/>
  <c r="P147" i="2" s="1"/>
  <c r="J145" i="2"/>
  <c r="G12" i="29"/>
  <c r="E9" i="19"/>
  <c r="J9" i="19" s="1"/>
  <c r="L9" i="19" s="1"/>
  <c r="F20" i="19"/>
  <c r="O76" i="29"/>
  <c r="E18" i="13"/>
  <c r="Q73" i="2"/>
  <c r="F143" i="2"/>
  <c r="F57" i="27"/>
  <c r="N15" i="2"/>
  <c r="P15" i="2" s="1"/>
  <c r="N14" i="2"/>
  <c r="N13" i="2"/>
  <c r="P13" i="2" s="1"/>
  <c r="P14" i="2"/>
  <c r="P19" i="2"/>
  <c r="J60" i="2"/>
  <c r="R5" i="2"/>
  <c r="Q66" i="2" s="1"/>
  <c r="E10" i="13" s="1"/>
  <c r="P5" i="2"/>
  <c r="P46" i="2"/>
  <c r="P43" i="2"/>
  <c r="P47" i="2"/>
  <c r="P29" i="2"/>
  <c r="P41" i="2"/>
  <c r="P45" i="2"/>
  <c r="P30" i="2"/>
  <c r="P42" i="2"/>
  <c r="P31" i="2"/>
  <c r="E8" i="19" l="1"/>
  <c r="J8" i="19" s="1"/>
  <c r="L8" i="19" s="1"/>
  <c r="G11" i="29"/>
  <c r="E7" i="13"/>
  <c r="Q2" i="12" s="1"/>
  <c r="P63" i="2"/>
  <c r="D7" i="13" s="1"/>
  <c r="P149" i="2"/>
  <c r="C49" i="27" s="1"/>
  <c r="P153" i="2"/>
  <c r="E29" i="13" s="1"/>
  <c r="P73" i="2"/>
  <c r="D19" i="13" s="1"/>
  <c r="E19" i="13"/>
  <c r="R2" i="12" s="1"/>
  <c r="J6" i="19"/>
  <c r="L6" i="19" s="1"/>
  <c r="M11" i="19" s="1"/>
  <c r="K44" i="7"/>
  <c r="M32" i="7"/>
  <c r="N41" i="7" s="1"/>
  <c r="N42" i="7" s="1"/>
  <c r="K45" i="7"/>
  <c r="N45" i="7" s="1"/>
  <c r="L32" i="7"/>
  <c r="E10" i="19"/>
  <c r="J10" i="19" s="1"/>
  <c r="L10" i="19" s="1"/>
  <c r="G13" i="29"/>
  <c r="Q150" i="2"/>
  <c r="C51" i="27" s="1"/>
  <c r="P152" i="2"/>
  <c r="C46" i="27"/>
  <c r="E7" i="19"/>
  <c r="J7" i="19" s="1"/>
  <c r="L7" i="19" s="1"/>
  <c r="G10" i="29"/>
  <c r="N44" i="17"/>
  <c r="N47" i="17" s="1"/>
  <c r="N52" i="17" s="1"/>
  <c r="N60" i="2"/>
  <c r="C45" i="27" s="1"/>
  <c r="Q82" i="2"/>
  <c r="E28" i="13" s="1"/>
  <c r="P62" i="2"/>
  <c r="P70" i="2" s="1"/>
  <c r="P72" i="2"/>
  <c r="P80" i="2" s="1"/>
  <c r="E4" i="13" l="1"/>
  <c r="E16" i="13"/>
  <c r="E26" i="13" s="1"/>
  <c r="D14" i="28" s="1"/>
  <c r="F25" i="28" s="1"/>
  <c r="C48" i="27"/>
  <c r="F44" i="27" s="1"/>
  <c r="N44" i="7"/>
  <c r="N47" i="7" s="1"/>
  <c r="N52" i="7" s="1"/>
  <c r="P179" i="2" s="1"/>
  <c r="E11" i="19"/>
  <c r="E17" i="13"/>
  <c r="E5" i="13"/>
  <c r="C60" i="27"/>
  <c r="P175" i="2"/>
  <c r="E31" i="13"/>
  <c r="P84" i="2"/>
  <c r="P86" i="2" s="1"/>
  <c r="P155" i="2" s="1"/>
  <c r="E14" i="13" l="1"/>
  <c r="A2" i="12" s="1"/>
  <c r="M2" i="12"/>
  <c r="D12" i="28"/>
  <c r="G23" i="28" s="1"/>
  <c r="N18" i="20"/>
  <c r="E74" i="13" s="1"/>
  <c r="F52" i="27"/>
  <c r="C52" i="27" s="1"/>
  <c r="G18" i="20"/>
  <c r="E72" i="13" s="1"/>
  <c r="J20" i="19"/>
  <c r="B2" i="12"/>
  <c r="P174" i="2"/>
  <c r="C61" i="27"/>
  <c r="E44" i="13"/>
  <c r="E48" i="13" s="1"/>
  <c r="E25" i="28"/>
  <c r="G25" i="28"/>
  <c r="E33" i="13" l="1"/>
  <c r="D13" i="28"/>
  <c r="G24" i="28" s="1"/>
  <c r="N2" i="12"/>
  <c r="C2" i="12"/>
  <c r="K16" i="19"/>
  <c r="K15" i="19"/>
  <c r="M19" i="19" s="1"/>
  <c r="M32" i="19" s="1"/>
  <c r="K18" i="19"/>
  <c r="K17" i="19"/>
  <c r="F23" i="28"/>
  <c r="E23" i="28"/>
  <c r="F24" i="28" l="1"/>
  <c r="E24" i="28"/>
  <c r="N32" i="19"/>
  <c r="E69" i="13"/>
  <c r="E68" i="13"/>
  <c r="F31" i="20"/>
  <c r="O32" i="19"/>
  <c r="R32" i="20"/>
  <c r="F30" i="20"/>
  <c r="M31" i="20"/>
  <c r="M30" i="20"/>
  <c r="M32" i="20"/>
  <c r="R30" i="20"/>
  <c r="D165" i="2" l="1"/>
  <c r="D166" i="2"/>
  <c r="N32" i="20"/>
  <c r="J162" i="2" s="1"/>
  <c r="H161" i="2"/>
  <c r="H163" i="2"/>
  <c r="D163" i="2"/>
  <c r="D161" i="2"/>
  <c r="S32" i="20"/>
  <c r="F166" i="2" s="1"/>
  <c r="O38" i="19"/>
  <c r="E70" i="13"/>
  <c r="O41" i="19"/>
  <c r="O35" i="19"/>
  <c r="G22" i="20" s="1"/>
  <c r="G23" i="20" s="1"/>
  <c r="G30" i="20" s="1"/>
  <c r="N26" i="20" l="1"/>
  <c r="N27" i="20" s="1"/>
  <c r="N31" i="20" s="1"/>
  <c r="J163" i="2" s="1"/>
  <c r="G26" i="20"/>
  <c r="G27" i="20" s="1"/>
  <c r="G31" i="20" s="1"/>
  <c r="F163" i="2" s="1"/>
  <c r="F161" i="2"/>
  <c r="S22" i="20"/>
  <c r="S23" i="20" s="1"/>
  <c r="S30" i="20" s="1"/>
  <c r="N22" i="20"/>
  <c r="N23" i="20" s="1"/>
  <c r="N30" i="20" s="1"/>
  <c r="P163" i="2" l="1"/>
  <c r="J161" i="2"/>
  <c r="S184" i="2" s="1"/>
  <c r="N34" i="20"/>
  <c r="S183" i="2"/>
  <c r="F165" i="2"/>
  <c r="S34" i="20"/>
  <c r="G34" i="20"/>
  <c r="P161" i="2" l="1"/>
  <c r="E36" i="13" s="1"/>
  <c r="P165" i="2"/>
  <c r="E37" i="13" s="1"/>
  <c r="N40" i="20"/>
  <c r="C54" i="27"/>
  <c r="C53" i="27"/>
  <c r="G40" i="20"/>
  <c r="C55" i="27"/>
  <c r="Q167" i="2"/>
  <c r="S185" i="2" s="1"/>
  <c r="S40" i="20"/>
  <c r="P171" i="2" l="1"/>
  <c r="P181" i="2" s="1"/>
  <c r="P193" i="2" s="1"/>
  <c r="E65" i="13" s="1"/>
  <c r="W2" i="12" s="1"/>
  <c r="P167" i="2"/>
  <c r="E38" i="13"/>
  <c r="G42" i="20"/>
  <c r="S2" i="12" l="1"/>
  <c r="D38" i="13"/>
  <c r="E42" i="13"/>
  <c r="E50" i="13" s="1"/>
  <c r="E22" i="28" l="1"/>
  <c r="E27" i="28" s="1"/>
  <c r="D11" i="28"/>
  <c r="D16" i="28" s="1"/>
  <c r="G22" i="28"/>
  <c r="G27" i="28" s="1"/>
  <c r="L2" i="12"/>
  <c r="F22" i="28"/>
  <c r="F27" i="28" s="1"/>
  <c r="E52" i="13"/>
  <c r="V2" i="12" s="1"/>
  <c r="G33" i="28" l="1"/>
  <c r="G32" i="28"/>
  <c r="G35"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Giovanni Sacco</author>
  </authors>
  <commentList>
    <comment ref="D10" authorId="0" shapeId="0" xr:uid="{00000000-0006-0000-0B00-000001000000}">
      <text>
        <r>
          <rPr>
            <sz val="9"/>
            <color indexed="81"/>
            <rFont val="Tahoma"/>
            <family val="2"/>
          </rPr>
          <t xml:space="preserve">pari al 25% dell'importo complessivo previsto
</t>
        </r>
      </text>
    </comment>
    <comment ref="D18" authorId="0" shapeId="0" xr:uid="{00000000-0006-0000-0B00-000002000000}">
      <text>
        <r>
          <rPr>
            <sz val="9"/>
            <color indexed="81"/>
            <rFont val="Tahoma"/>
            <family val="2"/>
          </rPr>
          <t xml:space="preserve">Da pagare entro 30 giorni dalla data di protocollazione della domanda 
</t>
        </r>
      </text>
    </comment>
    <comment ref="E22" authorId="0" shapeId="0" xr:uid="{00000000-0006-0000-0B00-000003000000}">
      <text>
        <r>
          <rPr>
            <sz val="9"/>
            <color indexed="81"/>
            <rFont val="Tahoma"/>
            <family val="2"/>
          </rPr>
          <t>Corrispondente al 25% dell'importo totale previsto</t>
        </r>
      </text>
    </comment>
    <comment ref="F22" authorId="0" shapeId="0" xr:uid="{00000000-0006-0000-0B00-000004000000}">
      <text>
        <r>
          <rPr>
            <sz val="9"/>
            <color indexed="81"/>
            <rFont val="Tahoma"/>
            <family val="2"/>
          </rPr>
          <t>Corrispondente al 25% dell'importo totale previsto</t>
        </r>
      </text>
    </comment>
    <comment ref="G22" authorId="0" shapeId="0" xr:uid="{00000000-0006-0000-0B00-000005000000}">
      <text>
        <r>
          <rPr>
            <sz val="9"/>
            <color indexed="81"/>
            <rFont val="Tahoma"/>
            <family val="2"/>
          </rPr>
          <t>Corrispondente al 25% dell'importo totale previsto</t>
        </r>
      </text>
    </comment>
    <comment ref="E23" authorId="0" shapeId="0" xr:uid="{00000000-0006-0000-0B00-000006000000}">
      <text>
        <r>
          <rPr>
            <sz val="9"/>
            <color indexed="81"/>
            <rFont val="Tahoma"/>
            <family val="2"/>
          </rPr>
          <t>determinata dalla somma del 25% dell'importo complessivo previsto e degli interessi legali vigenti maturati in riferimento ai 180 giorni decorrenti dalla data di presentazione della domanda</t>
        </r>
      </text>
    </comment>
    <comment ref="F23" authorId="0" shapeId="0" xr:uid="{00000000-0006-0000-0B00-000007000000}">
      <text>
        <r>
          <rPr>
            <sz val="9"/>
            <color indexed="81"/>
            <rFont val="Tahoma"/>
            <family val="2"/>
          </rPr>
          <t>determinata dalla somma del 25% dell'importo complessivo previsto e degli interessi legali vigenti maturati in riferimento ai 360 giorni decorrenti dalla data di presentazione della domanda</t>
        </r>
      </text>
    </comment>
    <comment ref="G23" authorId="0" shapeId="0" xr:uid="{00000000-0006-0000-0B00-000008000000}">
      <text>
        <r>
          <rPr>
            <sz val="9"/>
            <color indexed="81"/>
            <rFont val="Tahoma"/>
            <family val="2"/>
          </rPr>
          <t>determinata dalla somma del 25% dell'importo complessivo previsto e degli interessi legali vigenti maturati in riferimento ai 540 giorni (18 mesi) decorrenti dalla data di presentazione della domanda</t>
        </r>
      </text>
    </comment>
    <comment ref="E24" authorId="0" shapeId="0" xr:uid="{00000000-0006-0000-0B00-000009000000}">
      <text>
        <r>
          <rPr>
            <sz val="9"/>
            <color indexed="81"/>
            <rFont val="Tahoma"/>
            <family val="2"/>
          </rPr>
          <t>determinata dalla somma del 25% dell'importo complessivo previsto e degli interessi legali vigenti maturati in riferimento ai 180 giorni decorrenti dalla data di presentazione della domanda</t>
        </r>
      </text>
    </comment>
    <comment ref="F24" authorId="0" shapeId="0" xr:uid="{00000000-0006-0000-0B00-00000A000000}">
      <text>
        <r>
          <rPr>
            <sz val="9"/>
            <color indexed="81"/>
            <rFont val="Tahoma"/>
            <family val="2"/>
          </rPr>
          <t>determinata dalla somma del 25% dell'importo complessivo previsto e degli interessi legali vigenti maturati in riferimento ai 360 giorni decorrenti dalla data di presentazione della domanda</t>
        </r>
      </text>
    </comment>
    <comment ref="G24" authorId="0" shapeId="0" xr:uid="{00000000-0006-0000-0B00-00000B000000}">
      <text>
        <r>
          <rPr>
            <sz val="9"/>
            <color indexed="81"/>
            <rFont val="Tahoma"/>
            <family val="2"/>
          </rPr>
          <t>determinata dalla somma del 25% dell'importo complessivo previsto e degli interessi legali vigenti maturati in riferimento ai 540 giorni (18 mesi) decorrenti dalla data di presentazione della domanda</t>
        </r>
      </text>
    </comment>
    <comment ref="E25" authorId="0" shapeId="0" xr:uid="{00000000-0006-0000-0B00-00000C000000}">
      <text>
        <r>
          <rPr>
            <sz val="9"/>
            <color indexed="81"/>
            <rFont val="Tahoma"/>
            <family val="2"/>
          </rPr>
          <t>determinata dalla somma del 25% dell'importo complessivo previsto e degli interessi legali vigenti maturati in riferimento ai 180 giorni decorrenti dalla data di presentazione della domanda</t>
        </r>
      </text>
    </comment>
    <comment ref="F25" authorId="0" shapeId="0" xr:uid="{00000000-0006-0000-0B00-00000D000000}">
      <text>
        <r>
          <rPr>
            <sz val="9"/>
            <color indexed="81"/>
            <rFont val="Tahoma"/>
            <family val="2"/>
          </rPr>
          <t>determinata dalla somma del 25% dell'importo complessivo previsto e degli interessi legali vigenti maturati in riferimento ai 360 giorni decorrenti dalla data di presentazione della domanda</t>
        </r>
      </text>
    </comment>
    <comment ref="G25" authorId="0" shapeId="0" xr:uid="{00000000-0006-0000-0B00-00000E000000}">
      <text>
        <r>
          <rPr>
            <sz val="9"/>
            <color indexed="81"/>
            <rFont val="Tahoma"/>
            <family val="2"/>
          </rPr>
          <t>determinata dalla somma del 25% dell'importo complessivo previsto e degli interessi legali vigenti maturati in riferimento ai 540 giorni (18 mesi) decorrenti dalla data di presentazione della domanda</t>
        </r>
      </text>
    </comment>
    <comment ref="E29" authorId="0" shapeId="0" xr:uid="{00000000-0006-0000-0B00-00000F000000}">
      <text>
        <r>
          <rPr>
            <sz val="9"/>
            <color indexed="81"/>
            <rFont val="Tahoma"/>
            <family val="2"/>
          </rPr>
          <t xml:space="preserve">Da pagare entro 180 giorni dalla data di protocollazione della domanda 
</t>
        </r>
      </text>
    </comment>
    <comment ref="F29" authorId="0" shapeId="0" xr:uid="{00000000-0006-0000-0B00-000010000000}">
      <text>
        <r>
          <rPr>
            <sz val="9"/>
            <color indexed="81"/>
            <rFont val="Tahoma"/>
            <family val="2"/>
          </rPr>
          <t xml:space="preserve">Da pagare entro 360 giorni dalla data di protocollazione della domanda </t>
        </r>
      </text>
    </comment>
    <comment ref="G29" authorId="0" shapeId="0" xr:uid="{00000000-0006-0000-0B00-000011000000}">
      <text>
        <r>
          <rPr>
            <sz val="9"/>
            <color indexed="81"/>
            <rFont val="Tahoma"/>
            <family val="2"/>
          </rPr>
          <t xml:space="preserve">Da pagare entro 540 giorni (18 mesi) dalla data di protocollazione della domanda </t>
        </r>
      </text>
    </comment>
    <comment ref="G33" authorId="0" shapeId="0" xr:uid="{00000000-0006-0000-0B00-000012000000}">
      <text>
        <r>
          <rPr>
            <sz val="9"/>
            <color indexed="81"/>
            <rFont val="Tahoma"/>
            <family val="2"/>
          </rPr>
          <t xml:space="preserve">corrisponde al 40% dell'importo complessivo da versare
</t>
        </r>
      </text>
    </comment>
    <comment ref="G37" authorId="0" shapeId="0" xr:uid="{00000000-0006-0000-0B00-000013000000}">
      <text>
        <r>
          <rPr>
            <sz val="9"/>
            <color indexed="81"/>
            <rFont val="Tahoma"/>
            <family val="2"/>
          </rPr>
          <t>Prevedere una scadenza che corrisponde ad aggiungere ulteriori 18 mesi alla data di scadenza dell'ultima rata</t>
        </r>
      </text>
    </comment>
  </commentList>
</comments>
</file>

<file path=xl/sharedStrings.xml><?xml version="1.0" encoding="utf-8"?>
<sst xmlns="http://schemas.openxmlformats.org/spreadsheetml/2006/main" count="1231" uniqueCount="413">
  <si>
    <t>Ristrutturazione</t>
  </si>
  <si>
    <t>Residenziale</t>
  </si>
  <si>
    <t>=</t>
  </si>
  <si>
    <t>C.M.x</t>
  </si>
  <si>
    <t>Nuova edificazione</t>
  </si>
  <si>
    <t>Minimo</t>
  </si>
  <si>
    <t>Maggiorazione</t>
  </si>
  <si>
    <t>I</t>
  </si>
  <si>
    <t>II</t>
  </si>
  <si>
    <t>III</t>
  </si>
  <si>
    <t>IV</t>
  </si>
  <si>
    <t>V</t>
  </si>
  <si>
    <t>VI</t>
  </si>
  <si>
    <t>VII</t>
  </si>
  <si>
    <t>VIII</t>
  </si>
  <si>
    <t>IX</t>
  </si>
  <si>
    <t>X</t>
  </si>
  <si>
    <t>XI</t>
  </si>
  <si>
    <t>%</t>
  </si>
  <si>
    <t>Tabella 1</t>
  </si>
  <si>
    <t>riservata</t>
  </si>
  <si>
    <t>Classi sup.</t>
  </si>
  <si>
    <t>all'ufficio</t>
  </si>
  <si>
    <t>Sua / Su</t>
  </si>
  <si>
    <t>i</t>
  </si>
  <si>
    <t>Increm.</t>
  </si>
  <si>
    <t>0</t>
  </si>
  <si>
    <t>&gt;110 &lt;=130</t>
  </si>
  <si>
    <t>&gt;130 &lt;=160</t>
  </si>
  <si>
    <t>&gt;160</t>
  </si>
  <si>
    <t>S.u. =</t>
  </si>
  <si>
    <t xml:space="preserve"> </t>
  </si>
  <si>
    <t>i1=</t>
  </si>
  <si>
    <t>Tabella 2</t>
  </si>
  <si>
    <t>Tabella 3</t>
  </si>
  <si>
    <t>S.n.r. mq</t>
  </si>
  <si>
    <t>Snr / Su</t>
  </si>
  <si>
    <t>I-II-III</t>
  </si>
  <si>
    <t>&gt;50&lt;= 75</t>
  </si>
  <si>
    <t>IV-V-VI-VII-VIII</t>
  </si>
  <si>
    <t>autorimesse</t>
  </si>
  <si>
    <t>&gt;75&lt;=100</t>
  </si>
  <si>
    <t>IX-X-XI</t>
  </si>
  <si>
    <t>androni e porticati liberi</t>
  </si>
  <si>
    <t>&gt;100</t>
  </si>
  <si>
    <t>commerciali</t>
  </si>
  <si>
    <t>logge e balconi</t>
  </si>
  <si>
    <t>Snr/Su x 100</t>
  </si>
  <si>
    <t>i2=</t>
  </si>
  <si>
    <t>turistiche</t>
  </si>
  <si>
    <t>S.n.r.  =</t>
  </si>
  <si>
    <t>direzionali</t>
  </si>
  <si>
    <t>Tabella 4</t>
  </si>
  <si>
    <t>parte RESIDENZIALE</t>
  </si>
  <si>
    <t>n. caratt.</t>
  </si>
  <si>
    <t>O</t>
  </si>
  <si>
    <t>caratteristiche di tabella 4</t>
  </si>
  <si>
    <t>o</t>
  </si>
  <si>
    <t>più di un ascensore per scala</t>
  </si>
  <si>
    <t>scala di servizio non prescritta</t>
  </si>
  <si>
    <t>altezze interne maggiori di 270</t>
  </si>
  <si>
    <t>alloggio custode per meno di 15 unità</t>
  </si>
  <si>
    <t>i3=</t>
  </si>
  <si>
    <t>parte COMMERCIO/TERZIARIO</t>
  </si>
  <si>
    <t>Classe</t>
  </si>
  <si>
    <t>i1+i2+i3= i=</t>
  </si>
  <si>
    <t>S.c. + S.t. = mq</t>
  </si>
  <si>
    <t xml:space="preserve"> (solo se S.t. &lt;= S.u. x 25 %)</t>
  </si>
  <si>
    <t>RESIDENZA</t>
  </si>
  <si>
    <t>TERZIARIO</t>
  </si>
  <si>
    <t>D) x aliquota</t>
  </si>
  <si>
    <t xml:space="preserve">                                                                                                                                                                                                                                                                                                            </t>
  </si>
  <si>
    <t>R) x aliquota</t>
  </si>
  <si>
    <t>T) x aliquota</t>
  </si>
  <si>
    <t>.</t>
  </si>
  <si>
    <t>Oneri di urbanizzazione</t>
  </si>
  <si>
    <t>Costo costruzione</t>
  </si>
  <si>
    <t>Massimo (compreso)</t>
  </si>
  <si>
    <t>Monetizzazione parcheggi</t>
  </si>
  <si>
    <t>primaria</t>
  </si>
  <si>
    <t>secondaria</t>
  </si>
  <si>
    <t>smaltimento rifiuti</t>
  </si>
  <si>
    <t>Smaltimento rifiuti</t>
  </si>
  <si>
    <r>
      <t>¦</t>
    </r>
    <r>
      <rPr>
        <sz val="9"/>
        <rFont val="Arial"/>
        <family val="2"/>
      </rPr>
      <t xml:space="preserve"> x</t>
    </r>
  </si>
  <si>
    <t>Altri costi</t>
  </si>
  <si>
    <t>U.I.</t>
  </si>
  <si>
    <t>CLASSE EDIFICIO</t>
  </si>
  <si>
    <t>meno di 50.000 abit</t>
  </si>
  <si>
    <t>Attrezzature sportive</t>
  </si>
  <si>
    <t>Attrezzature spettacolo</t>
  </si>
  <si>
    <t>Attrezzature culturali e sanitarie</t>
  </si>
  <si>
    <t>Maggiorazione urbanizzazione primaria sottotetti</t>
  </si>
  <si>
    <t>No</t>
  </si>
  <si>
    <t>Maggiorazione costo costruzione sottotetti</t>
  </si>
  <si>
    <t>Superficie di calcolo</t>
  </si>
  <si>
    <t>Superficie parcheggio</t>
  </si>
  <si>
    <t xml:space="preserve">Superficie da monetizzare </t>
  </si>
  <si>
    <t>Zona</t>
  </si>
  <si>
    <t>Denominazione</t>
  </si>
  <si>
    <t>Totale</t>
  </si>
  <si>
    <t>Monetizzazione aree standards</t>
  </si>
  <si>
    <t>Parcheggi, silos (posto auto)</t>
  </si>
  <si>
    <t>Tipo intervento:</t>
  </si>
  <si>
    <t>Recupero sottotetti ai fini abitativi</t>
  </si>
  <si>
    <t>Maggiorazione urbanizzazione sec sottotetti</t>
  </si>
  <si>
    <t>S.u.a.</t>
  </si>
  <si>
    <t>Alloggi n.</t>
  </si>
  <si>
    <t>&lt;= 50</t>
  </si>
  <si>
    <t>S.u. = Sup. utile abitabile</t>
  </si>
  <si>
    <t>S.n.r. = Sup. non residenziale</t>
  </si>
  <si>
    <t>60 % di S.n.r. = Sup. ragg.</t>
  </si>
  <si>
    <t>S.c. = Sup. Complessiva</t>
  </si>
  <si>
    <t>S.n. = Sup. netta</t>
  </si>
  <si>
    <t>S.a. = Sup. accessoria</t>
  </si>
  <si>
    <t>60 % di S.a. = Sup. ragg.</t>
  </si>
  <si>
    <t>S.t.= Sup. totale</t>
  </si>
  <si>
    <t>Sì</t>
  </si>
  <si>
    <t>Destinazione d'uso</t>
  </si>
  <si>
    <t>Commerciale direzionale</t>
  </si>
  <si>
    <t>Industriale artigianale</t>
  </si>
  <si>
    <t>Modalità calcolo:</t>
  </si>
  <si>
    <t>Monetizzazione aree per dotazioni territoriali servizi e parcheggi</t>
  </si>
  <si>
    <t>Contributo sul costo di costruzione per progetto</t>
  </si>
  <si>
    <t>Sottotetti</t>
  </si>
  <si>
    <t>Computo estimativo</t>
  </si>
  <si>
    <t>D) EDIFICIO = (Sc + St se inf.al 25 %) x C</t>
  </si>
  <si>
    <t>su base tabella ministero</t>
  </si>
  <si>
    <t>per residenza da computo estimativo</t>
  </si>
  <si>
    <t>per terziario da computo estimativo</t>
  </si>
  <si>
    <t>SUL COSTO DI COSTRUZIONE TOTALE</t>
  </si>
  <si>
    <t>per rinnovi di Concessione o conguagli</t>
  </si>
  <si>
    <t>per varianti od ampliamenti comparativi</t>
  </si>
  <si>
    <t>Aliquota</t>
  </si>
  <si>
    <t>Risparmio energetico</t>
  </si>
  <si>
    <t>Contributo sul costo di costruzione per differenza tra progetto e stato di fatto</t>
  </si>
  <si>
    <t>Contributo sul costo di costruzione per stato di fatto</t>
  </si>
  <si>
    <t>Contributo sul costo di costruzione</t>
  </si>
  <si>
    <t>Tabella 2-3</t>
  </si>
  <si>
    <t>Oneri urbanizzazione primaria totale</t>
  </si>
  <si>
    <t>Oneri urbanizzazione secondaria totale</t>
  </si>
  <si>
    <t>Sanzione</t>
  </si>
  <si>
    <t>Commercio/Terziario</t>
  </si>
  <si>
    <t>Costo costruzione già corrisposto</t>
  </si>
  <si>
    <t>Oneri urbanizzazione secondaria già corrisposti</t>
  </si>
  <si>
    <t>Oneri urbanizzazione</t>
  </si>
  <si>
    <t>Contributo costruzione</t>
  </si>
  <si>
    <t>Oneri urbanizzazione primaria già corrisposti</t>
  </si>
  <si>
    <t>Costo di costruzione già corrisposto</t>
  </si>
  <si>
    <t>-</t>
  </si>
  <si>
    <t>Destinazione iniziale</t>
  </si>
  <si>
    <t>Destinazione finale</t>
  </si>
  <si>
    <t>Area normativa</t>
  </si>
  <si>
    <t>Maggiorazione per fondo aree verdi</t>
  </si>
  <si>
    <t>Nuova costruzione</t>
  </si>
  <si>
    <t>Inserire zona urbanistica da PGT</t>
  </si>
  <si>
    <t>?</t>
  </si>
  <si>
    <t>Consistenza</t>
  </si>
  <si>
    <t>L'intervento implica oneri di urbanizzazione primaria</t>
  </si>
  <si>
    <t>L'intervento implica oneri di urbanizzazione secondaria</t>
  </si>
  <si>
    <t>Sono già stati corrisposti oneri di urbanizzazione primaria per un importo pari a</t>
  </si>
  <si>
    <t>Descrizione dell'intervento</t>
  </si>
  <si>
    <t>L'intervento ricade in area normativa</t>
  </si>
  <si>
    <t>Urbanizzazione primaria</t>
  </si>
  <si>
    <t>Maggiorazione sugli oneri dovuti per il recupero dei sottotetti a fini abitativi</t>
  </si>
  <si>
    <t>Oneri già corrisposti</t>
  </si>
  <si>
    <t>Riduzione per l'applicazione del "piano casa"</t>
  </si>
  <si>
    <t>Contributo dovuto</t>
  </si>
  <si>
    <t>Maggiorazione sul contributo per il recupero dei sottotetti a fini abitativi</t>
  </si>
  <si>
    <t>Contributo già corrisposto</t>
  </si>
  <si>
    <t>Riduzione per l'applicazione del piano casa</t>
  </si>
  <si>
    <t>Urbanizzazione secondaria</t>
  </si>
  <si>
    <t>Contributo di costruzione comprensivo di altri costi</t>
  </si>
  <si>
    <t>Riepilogo degli importi dovuti a titolo di contributo di costruzione</t>
  </si>
  <si>
    <t>Elementi per il calcolo del contributo sul costo di costruzione</t>
  </si>
  <si>
    <t>Sanzione pecuniaria per interventi in sanatoria</t>
  </si>
  <si>
    <t>L'intervento fruisce della riduzione prevista dal "piano casa"</t>
  </si>
  <si>
    <t>Sono già stati corrisposti oneri di urbanizzazione secondaria per un importo pari a</t>
  </si>
  <si>
    <t>Superficie lotto</t>
  </si>
  <si>
    <t xml:space="preserve">Consistenza finale </t>
  </si>
  <si>
    <t>Consistenza inziale</t>
  </si>
  <si>
    <t>Parametri per il calcolo della monetizzazione  per dotazioni territoriali servizi e parcheggi</t>
  </si>
  <si>
    <t>Parametri per il calcolo nel caso di intervento di recupero dei sottotetti ai fini abitativi</t>
  </si>
  <si>
    <t>L'intervento ricade nella zona</t>
  </si>
  <si>
    <t>Selezionare la zona</t>
  </si>
  <si>
    <t>Oneri urbanizzazione primaria</t>
  </si>
  <si>
    <t>Oneri urbanizzazione secondaria</t>
  </si>
  <si>
    <t>Calcolo degli importi dovuti a titolo di oneri di urbanizzazione nel caso di interventi di nuova edificazione e/o ristrutturazione</t>
  </si>
  <si>
    <t>Calcolo degli importi dovuti a titolo di oneri di urbanizzazione nel caso di interventi di cambio destinazione d'uso</t>
  </si>
  <si>
    <t>Maggiorazione sugli oneri di urbanizzazione per Fondo Aree Verdi</t>
  </si>
  <si>
    <t>Maggiorazione sul costo di costruzione per Fondo Aree Verdi</t>
  </si>
  <si>
    <t>Contributo costruzione comprensivo altri costi</t>
  </si>
  <si>
    <t>Cantine, soffitte, lavatoi, locali termici e simili</t>
  </si>
  <si>
    <t>cantine, soffitte, lavatoi, locali termici e simili</t>
  </si>
  <si>
    <t>S.c. = Sup. complessiva</t>
  </si>
  <si>
    <t>&lt;= 95</t>
  </si>
  <si>
    <t>&gt; 95 &lt;=110</t>
  </si>
  <si>
    <t>S.n.r.</t>
  </si>
  <si>
    <t>M.% maggiorazione</t>
  </si>
  <si>
    <t>Accessori</t>
  </si>
  <si>
    <t>Tabella 4 e relative caratteristiche</t>
  </si>
  <si>
    <t>Contributo sul costo di costruzione per lo stato di fatto (D. M. 10/5/1977)</t>
  </si>
  <si>
    <t>CONTRIBUTO SUL COSTO DI COSTRUZIONE (al mq):</t>
  </si>
  <si>
    <t>CONTRIBUTO:</t>
  </si>
  <si>
    <t>CONTRIBUTO GIA' CORRISPOSTO:</t>
  </si>
  <si>
    <t>CONTRIBUTO SUL COSTO DI COSTRUZIONE DOVUTO:</t>
  </si>
  <si>
    <t>R=</t>
  </si>
  <si>
    <t>T=</t>
  </si>
  <si>
    <t>Recupero sottotetti: calcolo superficie da adibire a parcheggio</t>
  </si>
  <si>
    <t>Volume singola unità immobiliare</t>
  </si>
  <si>
    <t>Contributo sul costo di costruzione per lo stato di progetto (D. M. 10/5/1977)</t>
  </si>
  <si>
    <t>Zone territoriali omogenee di riferimento per il calcolo degli oneri di urbanizzazione</t>
  </si>
  <si>
    <t>Destinazioni d'uso previste per il calcolo degli oneri di urbanizzazione</t>
  </si>
  <si>
    <t>Zona 1</t>
  </si>
  <si>
    <t>Zone di riferimento per il calcolo della monetizzazione delle aree standards</t>
  </si>
  <si>
    <t>Zone di riferimento per il calcolo della monetizzazione parcheggi</t>
  </si>
  <si>
    <t>Contributo base al mq sul costo di costruzione</t>
  </si>
  <si>
    <t>Maggiorazione in caso di  recupero dei sottotetti ai fini abitativi</t>
  </si>
  <si>
    <t>Urb. primaria</t>
  </si>
  <si>
    <t>Urb. secondaria</t>
  </si>
  <si>
    <t>Oneri urbanizz.</t>
  </si>
  <si>
    <t>Costo costruz.</t>
  </si>
  <si>
    <t>Riduzione per "Piano casa"</t>
  </si>
  <si>
    <t xml:space="preserve">Industriale alberghiera </t>
  </si>
  <si>
    <t>L'intervento è in sanatoria</t>
  </si>
  <si>
    <t>L'intervento rientra nell'ambito dell'edilizia convenzionata</t>
  </si>
  <si>
    <t>Smaltimento rifiuti nel caso di interventi di cambio destinazione d'uso</t>
  </si>
  <si>
    <t>Totale oneri riferiti alla destinazione iniziale</t>
  </si>
  <si>
    <t>Totale oneri riferiti alla destinazione finale</t>
  </si>
  <si>
    <t>Calcolo degli importi dovuti a titolo di contributo sul costo di costruzione</t>
  </si>
  <si>
    <t>B) RESIDENZIALE</t>
  </si>
  <si>
    <t>C) MAGGIORATO = B x (1 + M / 100)</t>
  </si>
  <si>
    <t>Parametri per il calcolo della maggiorazione prevista nel caso in cui l'intervento sottragga superficie agricola nello stato di fatto</t>
  </si>
  <si>
    <t>Superficie agricola sottratta</t>
  </si>
  <si>
    <t>Numero di unità immobiliari</t>
  </si>
  <si>
    <t>Volume dei sottotetti</t>
  </si>
  <si>
    <t>Totale degli incrementi</t>
  </si>
  <si>
    <t>Classe dell'edificio</t>
  </si>
  <si>
    <t>Maggiorazione del costo base di costruzione</t>
  </si>
  <si>
    <t>Superficie complessiva per intervento di recupero dei sottotetti</t>
  </si>
  <si>
    <t>x</t>
  </si>
  <si>
    <t>Oneri di urbanizzazione nel caso di interventi di nuova edificazione e/o ristrutturazione</t>
  </si>
  <si>
    <t>Oneri di urbanizzazione nel caso di interventi di cambio destinazione d'uso</t>
  </si>
  <si>
    <t>Torna alla procedura guidata!</t>
  </si>
  <si>
    <t>Calcola gli oneri di urbanizzazione</t>
  </si>
  <si>
    <t>PERCENTUALI DEL COSTO</t>
  </si>
  <si>
    <t>Opzioni</t>
  </si>
  <si>
    <t>Oneri dovuti nel caso di nuova edificazione e/o ristrutturazione</t>
  </si>
  <si>
    <t>Maggiorazione per il recupero dei sottotetti a fini abitativi</t>
  </si>
  <si>
    <t>Calcola il costo di costruzione</t>
  </si>
  <si>
    <t>Nuova costruz.</t>
  </si>
  <si>
    <t>Ristrutt. e ampliam.</t>
  </si>
  <si>
    <t>Calcolo costo costruzione</t>
  </si>
  <si>
    <t>Oneri di urbanizzazione primaria nel caso di interventi di cambio destinazione d'uso</t>
  </si>
  <si>
    <t>Oneri di urbanizzazione secondaria nel caso di interventi di cambio destinazione d'uso</t>
  </si>
  <si>
    <t>Ampliamento</t>
  </si>
  <si>
    <t>Calcola gli  oneri di urbanizzazione</t>
  </si>
  <si>
    <t>Comune con meno di 50.000 abitanti</t>
  </si>
  <si>
    <t>Tipologia</t>
  </si>
  <si>
    <t>Contributo sul costo di costruzione - classi di edifici e relative maggiorazioni per comuni con meno di 50.000 abitanti</t>
  </si>
  <si>
    <t>Contributo sul costo di costruzione - classi di edifici e relative maggiorazioni per comuni con più di 50.000 abitanti</t>
  </si>
  <si>
    <t>Oneri dovuti nel caso di interventi di nuova edificazione e/o ristrutturazione</t>
  </si>
  <si>
    <t>Oneri dovuti nel caso di interventi di cambio destinazione d'uso</t>
  </si>
  <si>
    <t>Recupero abitativo dei sottotetti: parametri di calcolo della superficie da adibire a  parcheggio</t>
  </si>
  <si>
    <t>Superficie da adibire a  parcheggio</t>
  </si>
  <si>
    <t>Destinazione ulteriore 1</t>
  </si>
  <si>
    <t>Destinazione ulteriore 2</t>
  </si>
  <si>
    <t>Destinazione ulteriore 3</t>
  </si>
  <si>
    <t>Destinazione ulteriore 4</t>
  </si>
  <si>
    <t>Destinazione ulteriore 5</t>
  </si>
  <si>
    <t>L'intervento fruisce della riduzione tariffaria per risparmio energetico</t>
  </si>
  <si>
    <t>Riduzione per risparmio energetico</t>
  </si>
  <si>
    <t>L'intervento fruisce della riduzione per risparmio energetico per una percentuale pari al</t>
  </si>
  <si>
    <t>piscina</t>
  </si>
  <si>
    <t>Contributo da versare entro l'ultimazione dei lavori</t>
  </si>
  <si>
    <t>Rateizzazione del contributo di costruzione</t>
  </si>
  <si>
    <t>I rata</t>
  </si>
  <si>
    <t>II rata</t>
  </si>
  <si>
    <t>III rata</t>
  </si>
  <si>
    <t>IV rata</t>
  </si>
  <si>
    <t>Interesse legale in vigore</t>
  </si>
  <si>
    <t>Contributo da versare entro 30 giorni dalla presentazione della domanda</t>
  </si>
  <si>
    <t>Dati generali</t>
  </si>
  <si>
    <t>Entro il</t>
  </si>
  <si>
    <t>Importo per eventuali sanzioni</t>
  </si>
  <si>
    <t>Parametri per il calcolo della Fidejussione</t>
  </si>
  <si>
    <t>Importo complessivo delle rate comprensive di interessi</t>
  </si>
  <si>
    <t>Totale fidejussione</t>
  </si>
  <si>
    <t>Scadenza fidejussione</t>
  </si>
  <si>
    <t>Compila il prospetto previsto nel caso di rateizzazione</t>
  </si>
  <si>
    <t>nessuna rateizzazione</t>
  </si>
  <si>
    <t>Oblazione per interventi eseguiti in sanatoria</t>
  </si>
  <si>
    <t>Oblazione</t>
  </si>
  <si>
    <t>Data invio istanza</t>
  </si>
  <si>
    <t>Oneri urbanizzazione e smaltimento rifiuti</t>
  </si>
  <si>
    <t>Determina la classe dell'edificio</t>
  </si>
  <si>
    <t>Calcola la monetizzazione</t>
  </si>
  <si>
    <t>Costo per lo stato di fatto</t>
  </si>
  <si>
    <t>Costo per lo stato di progetto</t>
  </si>
  <si>
    <t>Calcola la superficie da adibire a parcheggi</t>
  </si>
  <si>
    <t>Visualizza il riepilogo generale</t>
  </si>
  <si>
    <t>Maggiorazione per Fondo Aree verdi</t>
  </si>
  <si>
    <t>Contributo dovuto nel caso di interventi di nuova edificazione e/o ristrutturazione</t>
  </si>
  <si>
    <t>Contributo per il recupero di sottotetti a fini abitativi</t>
  </si>
  <si>
    <t>Oneri per il recupero dei sottotetti ai fini abitativi</t>
  </si>
  <si>
    <t>Costo di costruzione BASE per interventi di RISTRUTTURAZIONE</t>
  </si>
  <si>
    <t>Costo di costruzione MAGGIORATO per interventi di RISTRUTTURAZIONE</t>
  </si>
  <si>
    <t>Sono già stati corrisposti oneri di smaltimento rifiuti per un importo pari a</t>
  </si>
  <si>
    <t>Smaltimento rifiuti già corrisposto</t>
  </si>
  <si>
    <t>Riduzione per interventi di densificazione</t>
  </si>
  <si>
    <t>Piano</t>
  </si>
  <si>
    <t>Destinazione singoli vani</t>
  </si>
  <si>
    <t>Unità immobiliare n.</t>
  </si>
  <si>
    <t>Calcolo della superficie complessiva per la determinazione del costo di costruzione dell'edifiico</t>
  </si>
  <si>
    <t>Numero complessivo di unità immobiliari</t>
  </si>
  <si>
    <t>S.n.r. (I)</t>
  </si>
  <si>
    <t>S.n.r. (II)</t>
  </si>
  <si>
    <t>S.n.r. (III)</t>
  </si>
  <si>
    <t>S.n.r. - cantine, soffitte, lavatoi, locali termici etc.</t>
  </si>
  <si>
    <t>S.n.r. - androni e porticati liberi</t>
  </si>
  <si>
    <t>S.n.r. - logge e balconi</t>
  </si>
  <si>
    <t>Dati generali e di riepilogo</t>
  </si>
  <si>
    <r>
      <t xml:space="preserve">S.u.a. </t>
    </r>
    <r>
      <rPr>
        <b/>
        <i/>
        <sz val="10"/>
        <rFont val="Arial"/>
        <family val="2"/>
      </rPr>
      <t>&lt;= 95</t>
    </r>
  </si>
  <si>
    <r>
      <t xml:space="preserve">S.u.a. </t>
    </r>
    <r>
      <rPr>
        <b/>
        <i/>
        <sz val="10"/>
        <rFont val="Arial"/>
        <family val="2"/>
      </rPr>
      <t>&gt; 95 &lt;=110</t>
    </r>
  </si>
  <si>
    <r>
      <t xml:space="preserve">S.u.a. </t>
    </r>
    <r>
      <rPr>
        <b/>
        <i/>
        <sz val="10"/>
        <rFont val="Arial"/>
        <family val="2"/>
      </rPr>
      <t>&gt;110 &lt;=130</t>
    </r>
  </si>
  <si>
    <r>
      <t xml:space="preserve">S.u.a. </t>
    </r>
    <r>
      <rPr>
        <b/>
        <i/>
        <sz val="10"/>
        <rFont val="Arial"/>
        <family val="2"/>
      </rPr>
      <t>&gt;130 &lt;=160</t>
    </r>
  </si>
  <si>
    <r>
      <t xml:space="preserve">S.u.a. </t>
    </r>
    <r>
      <rPr>
        <b/>
        <i/>
        <sz val="10"/>
        <rFont val="Arial"/>
        <family val="2"/>
      </rPr>
      <t>&gt;160</t>
    </r>
  </si>
  <si>
    <r>
      <t xml:space="preserve">S.n.r. </t>
    </r>
    <r>
      <rPr>
        <b/>
        <i/>
        <sz val="10"/>
        <rFont val="Arial"/>
        <family val="2"/>
      </rPr>
      <t>(I)</t>
    </r>
    <r>
      <rPr>
        <i/>
        <sz val="10"/>
        <rFont val="Arial"/>
        <family val="2"/>
      </rPr>
      <t>: cantine, soffitte, lavatoi, locali termici e simili</t>
    </r>
  </si>
  <si>
    <r>
      <t xml:space="preserve">S.n.r. </t>
    </r>
    <r>
      <rPr>
        <b/>
        <i/>
        <sz val="10"/>
        <rFont val="Arial"/>
        <family val="2"/>
      </rPr>
      <t>(II)</t>
    </r>
    <r>
      <rPr>
        <i/>
        <sz val="10"/>
        <rFont val="Arial"/>
        <family val="2"/>
      </rPr>
      <t>: androni e porticati liberi</t>
    </r>
  </si>
  <si>
    <r>
      <t xml:space="preserve">S.n.r. </t>
    </r>
    <r>
      <rPr>
        <b/>
        <i/>
        <sz val="10"/>
        <rFont val="Arial"/>
        <family val="2"/>
      </rPr>
      <t>(III)</t>
    </r>
    <r>
      <rPr>
        <i/>
        <sz val="10"/>
        <rFont val="Arial"/>
        <family val="2"/>
      </rPr>
      <t>: logge e balconi</t>
    </r>
  </si>
  <si>
    <t>Calcola le superfici dell'edificio</t>
  </si>
  <si>
    <t>Totale alloggi</t>
  </si>
  <si>
    <t>Totale S.u.a.</t>
  </si>
  <si>
    <t>Totale S.n.r.</t>
  </si>
  <si>
    <t>Opere di urb primaria già realizzate</t>
  </si>
  <si>
    <t>Opere di urb secondaria già realizzate</t>
  </si>
  <si>
    <t>Maggiorazione per consumo suolo e riqualificazione suolo degradato</t>
  </si>
  <si>
    <t>L'intervento rientra nelle disposizioni per la riduzione del consumo del suolo e la riqualificazione del suolo degradato</t>
  </si>
  <si>
    <t>Maggiorazione per consumo suolo e riqualificazione del suolo degradato</t>
  </si>
  <si>
    <t>Maggiorazione per consumo suolo</t>
  </si>
  <si>
    <t>maggiore dell'altezza minima regolamentare</t>
  </si>
  <si>
    <t>nessuna caratteristica</t>
  </si>
  <si>
    <t>Oneri a scomputo</t>
  </si>
  <si>
    <t>Oneri urbanizzazione primaria a scomputo</t>
  </si>
  <si>
    <t>Oneri urbanizzazione secondaria a scomputo</t>
  </si>
  <si>
    <t>Parti comuni</t>
  </si>
  <si>
    <t>Descrizione</t>
  </si>
  <si>
    <t>COMMERCIO/TERZIARIO</t>
  </si>
  <si>
    <t>RESIDENZIALE BASE (al mq)</t>
  </si>
  <si>
    <t>RESIDENZIALE MAGGIORATO (al mq)</t>
  </si>
  <si>
    <t>EDIFICIO parte RESIDENZIALE</t>
  </si>
  <si>
    <t>COMMERCIO/TERZIARIO BASE (al mq)</t>
  </si>
  <si>
    <t>EDIFICIO parte COMMERCIO/TERZIARIO</t>
  </si>
  <si>
    <t>Costo di costruzione BASE per interventi con destinazione COMMERCIO/TERZIARIO</t>
  </si>
  <si>
    <t>Costo di costruzione MAGGIORATO per interventi con destinazione COMMERCIO/TERZIARIO</t>
  </si>
  <si>
    <t>RESIDENZIALE su base tabella ministero</t>
  </si>
  <si>
    <t>TERZIARIO su base tabella ministero</t>
  </si>
  <si>
    <t>RESIDENZIALE da computo estimativo</t>
  </si>
  <si>
    <t>TERZIARIO da computo estimativo</t>
  </si>
  <si>
    <t>COMMERCIO/TERZIARIO MAGGIORATO (al mq)</t>
  </si>
  <si>
    <t>S.c. (Superficie complessiva)</t>
  </si>
  <si>
    <t>S.t. (Superficie totale)</t>
  </si>
  <si>
    <t>nuova edificazione residenziale</t>
  </si>
  <si>
    <t>ristrutturazione residenziale</t>
  </si>
  <si>
    <t>destinazione commercio/terziario</t>
  </si>
  <si>
    <t>L'intervento fruisce della riduzione per densificazione (recupero e riuso di immobili dismessi o in via di dismissione)</t>
  </si>
  <si>
    <t>Riduzione per densificazione (recupero e riuso di immobili dismessi o in via di dismissione)</t>
  </si>
  <si>
    <t>Saranno realizzate opere di urbanizzazione primaria per un importo pari a</t>
  </si>
  <si>
    <t>Saranno realizzate opere di urbanizzazione secondaria per un importo pari a</t>
  </si>
  <si>
    <t>L'intervento implica il pagamento di una sanzione pecuniaria per un importo pari a</t>
  </si>
  <si>
    <t>Superficie lorda di pavimento</t>
  </si>
  <si>
    <t>Costo di costruzione BASE per interventi di NUOVA EDIFICAZIONE</t>
  </si>
  <si>
    <t>Costo di costruzione MAGGIORATO per interventi di NUOVA EDIFICAZIONE</t>
  </si>
  <si>
    <t>RESIDENZIALE</t>
  </si>
  <si>
    <t>Superficie complessiva per nuova costruzione con destinazione residenziale</t>
  </si>
  <si>
    <t>Superficie complessiva per ristrutturazione/ampliamento con destinazione commercio/terziario</t>
  </si>
  <si>
    <t>Superficie complessiva per nuova costruzione con destinazione commercio/terziario</t>
  </si>
  <si>
    <t>Superficie complessiva per ristrutturazione/ampliamento con destinazione residenziale</t>
  </si>
  <si>
    <t>Parametri per il calcolo della monetizzazione delle aree a standards</t>
  </si>
  <si>
    <t>Aliquota per computo estimativo del terziario</t>
  </si>
  <si>
    <t>selezionare una voce</t>
  </si>
  <si>
    <t xml:space="preserve">Associa all'edificio la classe più elevata (XI) </t>
  </si>
  <si>
    <t>Clicca sulla cella gialla e seleziona "x" dal menu a discesa: in questo modo si attiva la procedura guidata e potrai di seguito selezionare l'intervento o gli interventi di cui vorrai calcolare il contributo di costruzione.</t>
  </si>
  <si>
    <t>Attiva la procedura guidata</t>
  </si>
  <si>
    <t>Visualizza il riepilogo analitico</t>
  </si>
  <si>
    <t>Costo di costruzione</t>
  </si>
  <si>
    <t>Costo di costruzione comparativo</t>
  </si>
  <si>
    <t>Sup. agricola/Sup. lotto</t>
  </si>
  <si>
    <t>S.t.(Superficie totale)</t>
  </si>
  <si>
    <t>Importo (€/mq)</t>
  </si>
  <si>
    <t>All'interno delle tabelle "Parti comuni" e "Unità immobiliari" è possibile inserire ulteriori righe rispetto alle attuali</t>
  </si>
  <si>
    <t>Importo delle opere di urbanizzazione primaria da realizzare</t>
  </si>
  <si>
    <t>Importo delle opere di urbanizzazione secondaria da realizzare</t>
  </si>
  <si>
    <t>Importo delle opere di urbanizzazione da realizzare</t>
  </si>
  <si>
    <t>Ristrutturazione e ampliamento</t>
  </si>
  <si>
    <t>Parametri per il calcolo nel caso di nuova edificazione e ampliamento</t>
  </si>
  <si>
    <t>Parametri per il calcolo nel caso di cambio di destinazione d'uso (oltre 10 anni da fine lavori)</t>
  </si>
  <si>
    <r>
      <t>Cambio di destinazione d'uso</t>
    </r>
    <r>
      <rPr>
        <b/>
        <i/>
        <sz val="10"/>
        <rFont val="Arial"/>
        <family val="2"/>
      </rPr>
      <t xml:space="preserve"> (oltre 10 anni da fine lavori)</t>
    </r>
  </si>
  <si>
    <t>Ristrutturazione senza demolizione e ricostruzione</t>
  </si>
  <si>
    <t>Ristrutturazione con demolizione e ricostruzione</t>
  </si>
  <si>
    <t>Parametri per il calcolo nel caso di ristrutturazione edilizia senza demolizione e ricostruzione</t>
  </si>
  <si>
    <t>Parametri per il calcolo nel caso di ristrutturazione edilizia con demolizione e ricostruzione</t>
  </si>
  <si>
    <t>A</t>
  </si>
  <si>
    <t>B</t>
  </si>
  <si>
    <t>C</t>
  </si>
  <si>
    <t>D</t>
  </si>
  <si>
    <t>E</t>
  </si>
  <si>
    <t>Zona A</t>
  </si>
  <si>
    <t>Zona B</t>
  </si>
  <si>
    <t>Zona C</t>
  </si>
  <si>
    <t>Zona D</t>
  </si>
  <si>
    <t>Zona E</t>
  </si>
  <si>
    <t>Posto auto coperto</t>
  </si>
  <si>
    <t>Posto auto scoperto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</si>
</sst>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quot;€&quot;\ #,##0.00;\-&quot;€&quot;\ #,##0.00"/>
    <numFmt numFmtId="165" formatCode="&quot;€&quot;\ #,##0.00;[Red]\-&quot;€&quot;\ #,##0.00"/>
    <numFmt numFmtId="166" formatCode="[$€-2]\ #,##0.00;\-[$€-2]\ #,##0.00"/>
    <numFmt numFmtId="167" formatCode="[$€-2]\ #,##0.00"/>
    <numFmt numFmtId="168" formatCode="0.0"/>
    <numFmt numFmtId="169" formatCode="&quot;€&quot;\ #,##0.00"/>
    <numFmt numFmtId="170" formatCode="0.000"/>
    <numFmt numFmtId="171" formatCode="0\ \ %"/>
    <numFmt numFmtId="172" formatCode="#,##0\ &quot;m³&quot;"/>
    <numFmt numFmtId="173" formatCode="#,##0\ &quot;m²&quot;"/>
    <numFmt numFmtId="174" formatCode="0.0\ &quot;%&quot;"/>
    <numFmt numFmtId="175" formatCode="#,##0.00\ &quot;€/m³&quot;;\-#,##0.00\ &quot;€/m³&quot;"/>
    <numFmt numFmtId="176" formatCode="#,##0.00\ &quot;€/m²&quot;;\-#,##0.00\ &quot;€/m²&quot;"/>
    <numFmt numFmtId="177" formatCode="#,##0.0\ &quot;m³&quot;"/>
    <numFmt numFmtId="178" formatCode="#,##0.00\ &quot;m³&quot;"/>
    <numFmt numFmtId="179" formatCode="#,##0.00\ &quot;m²&quot;"/>
    <numFmt numFmtId="180" formatCode="0.00\ &quot;m³&quot;"/>
    <numFmt numFmtId="181" formatCode="0.00\ &quot;m²&quot;"/>
    <numFmt numFmtId="182" formatCode="&quot;€&quot;\ #,##0.00;[Red]&quot;€&quot;\ #,##0.00"/>
    <numFmt numFmtId="183" formatCode="0.0%"/>
    <numFmt numFmtId="184" formatCode="[$€-2]\ #,##0.00;[Red]\-[$€-2]\ #,##0.00"/>
    <numFmt numFmtId="185" formatCode="#,##0.00\ &quot;€&quot;"/>
  </numFmts>
  <fonts count="105" x14ac:knownFonts="1">
    <font>
      <sz val="10"/>
      <name val="Arial"/>
    </font>
    <font>
      <sz val="11"/>
      <color indexed="8"/>
      <name val="Calibri"/>
      <family val="2"/>
    </font>
    <font>
      <sz val="11"/>
      <color indexed="8"/>
      <name val="Calibri"/>
      <family val="2"/>
    </font>
    <font>
      <sz val="10"/>
      <name val="Arial"/>
      <family val="2"/>
    </font>
    <font>
      <sz val="8"/>
      <name val="Arial"/>
      <family val="2"/>
    </font>
    <font>
      <b/>
      <sz val="10"/>
      <name val="Arial"/>
      <family val="2"/>
    </font>
    <font>
      <sz val="10"/>
      <name val="Arial Narrow"/>
      <family val="2"/>
    </font>
    <font>
      <sz val="10"/>
      <name val="Arial"/>
      <family val="2"/>
    </font>
    <font>
      <sz val="8"/>
      <name val="Arial Narrow"/>
      <family val="2"/>
    </font>
    <font>
      <sz val="7"/>
      <name val="Arial"/>
      <family val="2"/>
    </font>
    <font>
      <sz val="14"/>
      <name val="Arial Narrow"/>
      <family val="2"/>
    </font>
    <font>
      <u/>
      <sz val="10"/>
      <name val="Arial"/>
      <family val="2"/>
    </font>
    <font>
      <sz val="12"/>
      <name val="Arial Narrow"/>
      <family val="2"/>
    </font>
    <font>
      <sz val="10"/>
      <color indexed="8"/>
      <name val="Arial"/>
      <family val="2"/>
    </font>
    <font>
      <sz val="10"/>
      <color indexed="10"/>
      <name val="Symbol"/>
      <family val="1"/>
      <charset val="2"/>
    </font>
    <font>
      <sz val="10"/>
      <color indexed="8"/>
      <name val="Arial"/>
      <family val="2"/>
    </font>
    <font>
      <sz val="10"/>
      <color indexed="12"/>
      <name val="Arial"/>
      <family val="2"/>
    </font>
    <font>
      <sz val="10"/>
      <name val="Tahoma"/>
      <family val="2"/>
    </font>
    <font>
      <b/>
      <sz val="12"/>
      <name val="Arial"/>
      <family val="2"/>
    </font>
    <font>
      <b/>
      <sz val="8"/>
      <name val="Arial"/>
      <family val="2"/>
    </font>
    <font>
      <sz val="10"/>
      <name val="Helv"/>
    </font>
    <font>
      <sz val="8"/>
      <name val="Helv"/>
    </font>
    <font>
      <i/>
      <sz val="8"/>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9"/>
      <name val="Arial"/>
      <family val="2"/>
    </font>
    <font>
      <sz val="9"/>
      <color indexed="12"/>
      <name val="Arial"/>
      <family val="2"/>
    </font>
    <font>
      <b/>
      <sz val="9"/>
      <name val="Arial"/>
      <family val="2"/>
    </font>
    <font>
      <u/>
      <sz val="9"/>
      <name val="Arial"/>
      <family val="2"/>
    </font>
    <font>
      <sz val="9"/>
      <name val="Arial"/>
      <family val="2"/>
    </font>
    <font>
      <b/>
      <sz val="12"/>
      <color indexed="12"/>
      <name val="Arial"/>
      <family val="2"/>
    </font>
    <font>
      <sz val="11"/>
      <color indexed="10"/>
      <name val="Symbol"/>
      <family val="1"/>
      <charset val="2"/>
    </font>
    <font>
      <sz val="9"/>
      <name val="Wingdings"/>
      <charset val="2"/>
    </font>
    <font>
      <sz val="8"/>
      <name val="Arial"/>
      <family val="2"/>
    </font>
    <font>
      <b/>
      <sz val="10"/>
      <color indexed="12"/>
      <name val="Arial"/>
      <family val="2"/>
    </font>
    <font>
      <sz val="9"/>
      <color indexed="81"/>
      <name val="Tahoma"/>
      <family val="2"/>
    </font>
    <font>
      <sz val="10"/>
      <name val="Arial"/>
      <family val="2"/>
    </font>
    <font>
      <i/>
      <sz val="10"/>
      <name val="Arial"/>
      <family val="2"/>
    </font>
    <font>
      <i/>
      <sz val="10"/>
      <name val="Helv"/>
    </font>
    <font>
      <b/>
      <i/>
      <sz val="10"/>
      <name val="Arial"/>
      <family val="2"/>
    </font>
    <font>
      <b/>
      <sz val="10"/>
      <name val="Times New Roman"/>
      <family val="1"/>
    </font>
    <font>
      <sz val="10"/>
      <name val="Wingdings"/>
      <charset val="2"/>
    </font>
    <font>
      <sz val="12"/>
      <name val="Arial"/>
      <family val="2"/>
    </font>
    <font>
      <b/>
      <u/>
      <sz val="10"/>
      <name val="Arial"/>
      <family val="2"/>
    </font>
    <font>
      <sz val="12"/>
      <name val="Helv"/>
    </font>
    <font>
      <sz val="12"/>
      <name val="Wingdings"/>
      <charset val="2"/>
    </font>
    <font>
      <sz val="14"/>
      <name val="Wingdings"/>
      <charset val="2"/>
    </font>
    <font>
      <sz val="16"/>
      <name val="Wingdings"/>
      <charset val="2"/>
    </font>
    <font>
      <b/>
      <sz val="10"/>
      <name val="Wingdings"/>
      <charset val="2"/>
    </font>
    <font>
      <u/>
      <sz val="10"/>
      <color theme="10"/>
      <name val="Arial"/>
      <family val="2"/>
    </font>
    <font>
      <sz val="10"/>
      <color theme="3" tint="0.39997558519241921"/>
      <name val="Arial"/>
      <family val="2"/>
    </font>
    <font>
      <b/>
      <sz val="12"/>
      <color theme="3" tint="0.39997558519241921"/>
      <name val="Arial"/>
      <family val="2"/>
    </font>
    <font>
      <b/>
      <sz val="10"/>
      <color theme="0" tint="-0.499984740745262"/>
      <name val="Arial"/>
      <family val="2"/>
    </font>
    <font>
      <sz val="10"/>
      <color theme="0" tint="-0.34998626667073579"/>
      <name val="Arial"/>
      <family val="2"/>
    </font>
    <font>
      <b/>
      <sz val="10"/>
      <color theme="3" tint="0.39997558519241921"/>
      <name val="Arial"/>
      <family val="2"/>
    </font>
    <font>
      <sz val="8"/>
      <color theme="0" tint="-0.34998626667073579"/>
      <name val="Arial"/>
      <family val="2"/>
    </font>
    <font>
      <i/>
      <sz val="10"/>
      <color theme="0" tint="-0.499984740745262"/>
      <name val="Arial"/>
      <family val="2"/>
    </font>
    <font>
      <sz val="10"/>
      <color theme="0"/>
      <name val="Arial"/>
      <family val="2"/>
    </font>
    <font>
      <sz val="10"/>
      <color theme="1"/>
      <name val="Arial"/>
      <family val="2"/>
    </font>
    <font>
      <sz val="12"/>
      <color rgb="FF538DD5"/>
      <name val="Arial Narrow"/>
      <family val="2"/>
    </font>
    <font>
      <sz val="9"/>
      <color rgb="FF538DD5"/>
      <name val="Arial"/>
      <family val="2"/>
    </font>
    <font>
      <b/>
      <sz val="10"/>
      <color rgb="FF538DD5"/>
      <name val="Arial"/>
      <family val="2"/>
    </font>
    <font>
      <b/>
      <sz val="12"/>
      <color rgb="FF538DD5"/>
      <name val="Arial"/>
      <family val="2"/>
    </font>
    <font>
      <sz val="10"/>
      <color rgb="FF808080"/>
      <name val="Arial"/>
      <family val="2"/>
    </font>
    <font>
      <b/>
      <sz val="10"/>
      <color rgb="FF808080"/>
      <name val="Arial"/>
      <family val="2"/>
    </font>
    <font>
      <sz val="10"/>
      <color rgb="FF808080"/>
      <name val="Helv"/>
    </font>
    <font>
      <sz val="10"/>
      <color rgb="FF538DD5"/>
      <name val="Arial"/>
      <family val="2"/>
    </font>
    <font>
      <b/>
      <sz val="10"/>
      <color rgb="FFFF0000"/>
      <name val="Arial"/>
      <family val="2"/>
    </font>
    <font>
      <b/>
      <sz val="11"/>
      <color theme="3" tint="0.39997558519241921"/>
      <name val="Arial"/>
      <family val="2"/>
    </font>
    <font>
      <b/>
      <sz val="11"/>
      <color rgb="FFFF0000"/>
      <name val="Arial"/>
      <family val="2"/>
    </font>
    <font>
      <b/>
      <sz val="11"/>
      <color rgb="FF538DD5"/>
      <name val="Arial"/>
      <family val="2"/>
    </font>
    <font>
      <sz val="10"/>
      <color theme="0"/>
      <name val="Helv"/>
    </font>
    <font>
      <sz val="12"/>
      <color theme="0"/>
      <name val="Arial Narrow"/>
      <family val="2"/>
    </font>
    <font>
      <sz val="10"/>
      <color theme="0" tint="-0.499984740745262"/>
      <name val="Arial"/>
      <family val="2"/>
    </font>
    <font>
      <b/>
      <sz val="12"/>
      <color theme="4"/>
      <name val="Arial"/>
      <family val="2"/>
    </font>
    <font>
      <b/>
      <u/>
      <sz val="10"/>
      <color rgb="FF808080"/>
      <name val="Arial"/>
      <family val="2"/>
    </font>
    <font>
      <u/>
      <sz val="10"/>
      <color rgb="FF538DD5"/>
      <name val="Arial"/>
      <family val="2"/>
    </font>
    <font>
      <sz val="10"/>
      <color rgb="FFFF0000"/>
      <name val="Arial"/>
      <family val="2"/>
    </font>
    <font>
      <sz val="8"/>
      <color theme="0" tint="-0.499984740745262"/>
      <name val="Arial"/>
      <family val="2"/>
    </font>
    <font>
      <sz val="11"/>
      <color rgb="FF0070C0"/>
      <name val="Webdings"/>
      <family val="1"/>
      <charset val="2"/>
    </font>
    <font>
      <sz val="11"/>
      <color rgb="FF538DD5"/>
      <name val="Webdings"/>
      <family val="1"/>
      <charset val="2"/>
    </font>
    <font>
      <sz val="10"/>
      <color rgb="FF538DD5"/>
      <name val="Webdings"/>
      <family val="1"/>
      <charset val="2"/>
    </font>
    <font>
      <b/>
      <sz val="18"/>
      <color rgb="FF538DD5"/>
      <name val="Webdings"/>
      <family val="1"/>
      <charset val="2"/>
    </font>
    <font>
      <sz val="9"/>
      <color theme="0"/>
      <name val="Arial"/>
      <family val="2"/>
    </font>
    <font>
      <b/>
      <sz val="10"/>
      <color theme="0"/>
      <name val="Arial"/>
      <family val="2"/>
    </font>
    <font>
      <sz val="20"/>
      <color rgb="FF538DD5"/>
      <name val="Webdings"/>
      <family val="1"/>
      <charset val="2"/>
    </font>
    <font>
      <sz val="9"/>
      <color theme="0"/>
      <name val="Wingdings"/>
      <charset val="2"/>
    </font>
    <font>
      <sz val="8"/>
      <color rgb="FF538DD5"/>
      <name val="Arial"/>
      <family val="2"/>
    </font>
    <font>
      <sz val="9"/>
      <color theme="3" tint="0.39997558519241921"/>
      <name val="Arial"/>
      <family val="2"/>
    </font>
    <font>
      <b/>
      <i/>
      <sz val="10"/>
      <color rgb="FF538DD5"/>
      <name val="Helv"/>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E4E4E4"/>
        <bgColor indexed="64"/>
      </patternFill>
    </fill>
    <fill>
      <patternFill patternType="solid">
        <fgColor rgb="FFD9D9D9"/>
        <bgColor indexed="64"/>
      </patternFill>
    </fill>
    <fill>
      <patternFill patternType="solid">
        <fgColor rgb="FFEAEAEA"/>
        <bgColor indexed="64"/>
      </patternFill>
    </fill>
    <fill>
      <patternFill patternType="solid">
        <fgColor rgb="FFFFFF9B"/>
        <bgColor indexed="64"/>
      </patternFill>
    </fill>
    <fill>
      <patternFill patternType="solid">
        <fgColor theme="0" tint="-0.249977111117893"/>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ck">
        <color rgb="FFFF0000"/>
      </bottom>
      <diagonal/>
    </border>
    <border>
      <left/>
      <right style="thin">
        <color indexed="64"/>
      </right>
      <top/>
      <bottom style="thick">
        <color rgb="FFFF0000"/>
      </bottom>
      <diagonal/>
    </border>
    <border>
      <left style="thin">
        <color theme="0"/>
      </left>
      <right style="thin">
        <color theme="0"/>
      </right>
      <top style="thin">
        <color theme="0"/>
      </top>
      <bottom style="thin">
        <color theme="0"/>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90">
    <xf numFmtId="0" fontId="0" fillId="0" borderId="0"/>
    <xf numFmtId="0" fontId="2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3" fillId="5"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3" fillId="9"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5"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16" borderId="1" applyNumberFormat="0" applyAlignment="0" applyProtection="0"/>
    <xf numFmtId="0" fontId="26" fillId="0" borderId="2" applyNumberFormat="0" applyFill="0" applyAlignment="0" applyProtection="0"/>
    <xf numFmtId="0" fontId="27" fillId="17" borderId="3" applyNumberFormat="0" applyAlignment="0" applyProtection="0"/>
    <xf numFmtId="0" fontId="64" fillId="0" borderId="0" applyNumberFormat="0" applyFill="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28" fillId="7" borderId="1" applyNumberFormat="0" applyAlignment="0" applyProtection="0"/>
    <xf numFmtId="0" fontId="5" fillId="22" borderId="0">
      <alignment horizontal="center" vertical="center" wrapText="1"/>
    </xf>
    <xf numFmtId="0" fontId="5" fillId="23" borderId="4" applyNumberFormat="0" applyFill="0" applyProtection="0">
      <alignment vertical="center"/>
    </xf>
    <xf numFmtId="0" fontId="18" fillId="23" borderId="5" applyNumberFormat="0" applyFill="0" applyBorder="0" applyProtection="0">
      <alignment vertical="center"/>
    </xf>
    <xf numFmtId="172" fontId="7" fillId="24" borderId="6" applyFill="0" applyBorder="0" applyProtection="0">
      <alignment horizontal="right"/>
      <protection locked="0"/>
    </xf>
    <xf numFmtId="172" fontId="3" fillId="24" borderId="6" applyFill="0" applyBorder="0" applyProtection="0">
      <alignment horizontal="right"/>
      <protection locked="0"/>
    </xf>
    <xf numFmtId="173" fontId="7" fillId="24" borderId="6" applyFill="0" applyBorder="0" applyProtection="0">
      <alignment horizontal="right"/>
      <protection locked="0"/>
    </xf>
    <xf numFmtId="173" fontId="3" fillId="24" borderId="6" applyFill="0" applyBorder="0" applyProtection="0">
      <alignment horizontal="right"/>
      <protection locked="0"/>
    </xf>
    <xf numFmtId="43" fontId="3" fillId="0" borderId="0" applyFont="0" applyFill="0" applyBorder="0" applyAlignment="0" applyProtection="0"/>
    <xf numFmtId="0" fontId="29" fillId="25" borderId="0" applyNumberFormat="0" applyBorder="0" applyAlignment="0" applyProtection="0"/>
    <xf numFmtId="0" fontId="3" fillId="0" borderId="0"/>
    <xf numFmtId="168" fontId="20" fillId="0" borderId="0"/>
    <xf numFmtId="0" fontId="3" fillId="26" borderId="7" applyNumberFormat="0" applyFont="0" applyAlignment="0" applyProtection="0"/>
    <xf numFmtId="0" fontId="30" fillId="16" borderId="8" applyNumberFormat="0" applyAlignment="0" applyProtection="0"/>
    <xf numFmtId="174" fontId="3"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0" borderId="12" applyNumberFormat="0" applyFill="0" applyAlignment="0" applyProtection="0"/>
    <xf numFmtId="0" fontId="38" fillId="3" borderId="0" applyNumberFormat="0" applyBorder="0" applyAlignment="0" applyProtection="0"/>
    <xf numFmtId="0" fontId="39" fillId="4" borderId="0" applyNumberFormat="0" applyBorder="0" applyAlignment="0" applyProtection="0"/>
  </cellStyleXfs>
  <cellXfs count="1363">
    <xf numFmtId="0" fontId="0" fillId="0" borderId="0" xfId="0"/>
    <xf numFmtId="0" fontId="0" fillId="0" borderId="0" xfId="0" applyFill="1"/>
    <xf numFmtId="0" fontId="0" fillId="0" borderId="0" xfId="0" applyFill="1" applyProtection="1"/>
    <xf numFmtId="169" fontId="7" fillId="0" borderId="0" xfId="0" applyNumberFormat="1" applyFont="1" applyFill="1" applyBorder="1" applyAlignment="1" applyProtection="1">
      <alignment horizontal="center"/>
    </xf>
    <xf numFmtId="0" fontId="0" fillId="0" borderId="0" xfId="0" applyAlignment="1" applyProtection="1">
      <alignment horizontal="center" vertical="center" wrapText="1"/>
    </xf>
    <xf numFmtId="0" fontId="40" fillId="28" borderId="0" xfId="0" applyFont="1" applyFill="1" applyBorder="1" applyAlignment="1" applyProtection="1">
      <alignment vertical="center"/>
    </xf>
    <xf numFmtId="0" fontId="0" fillId="28" borderId="0" xfId="0" applyFill="1" applyProtection="1"/>
    <xf numFmtId="0" fontId="0" fillId="28" borderId="0" xfId="0" applyFill="1"/>
    <xf numFmtId="0" fontId="65" fillId="28" borderId="0" xfId="0" applyFont="1" applyFill="1" applyProtection="1"/>
    <xf numFmtId="0" fontId="10" fillId="28" borderId="0" xfId="0" applyFont="1" applyFill="1" applyProtection="1"/>
    <xf numFmtId="0" fontId="12" fillId="28" borderId="0" xfId="0" applyFont="1" applyFill="1" applyProtection="1"/>
    <xf numFmtId="0" fontId="0" fillId="28" borderId="0" xfId="0" applyFill="1" applyAlignment="1" applyProtection="1">
      <alignment vertical="center"/>
    </xf>
    <xf numFmtId="0" fontId="40" fillId="28" borderId="4" xfId="0" applyNumberFormat="1" applyFont="1" applyFill="1" applyBorder="1" applyAlignment="1" applyProtection="1">
      <alignment horizontal="center" vertical="center"/>
    </xf>
    <xf numFmtId="0" fontId="15" fillId="28" borderId="13" xfId="0" applyFont="1" applyFill="1" applyBorder="1" applyAlignment="1" applyProtection="1">
      <alignment vertical="center"/>
    </xf>
    <xf numFmtId="0" fontId="10" fillId="0" borderId="0" xfId="0" applyFont="1" applyFill="1" applyProtection="1"/>
    <xf numFmtId="0" fontId="12" fillId="0" borderId="0" xfId="0" applyFont="1" applyFill="1" applyProtection="1"/>
    <xf numFmtId="0" fontId="0" fillId="0" borderId="0" xfId="0" applyFill="1" applyAlignment="1" applyProtection="1">
      <alignment vertical="center"/>
    </xf>
    <xf numFmtId="0" fontId="46" fillId="0" borderId="0" xfId="0" applyFont="1" applyFill="1" applyAlignment="1" applyProtection="1">
      <alignment horizontal="right" vertical="center"/>
      <protection hidden="1"/>
    </xf>
    <xf numFmtId="0" fontId="44" fillId="0" borderId="0" xfId="0" applyFont="1" applyFill="1" applyAlignment="1" applyProtection="1">
      <alignment horizontal="right" vertical="center"/>
    </xf>
    <xf numFmtId="0" fontId="0" fillId="0" borderId="0" xfId="0" applyFill="1" applyBorder="1" applyAlignment="1" applyProtection="1">
      <alignment vertical="center"/>
    </xf>
    <xf numFmtId="0" fontId="40"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166" fontId="40" fillId="0" borderId="0" xfId="0" applyNumberFormat="1" applyFont="1" applyFill="1" applyBorder="1" applyAlignment="1" applyProtection="1">
      <alignment vertical="center"/>
    </xf>
    <xf numFmtId="0" fontId="40" fillId="0" borderId="0" xfId="0" quotePrefix="1" applyFont="1" applyFill="1" applyBorder="1" applyAlignment="1" applyProtection="1">
      <alignment horizontal="center" vertical="center"/>
    </xf>
    <xf numFmtId="0" fontId="0" fillId="0" borderId="0" xfId="0" applyFill="1" applyBorder="1" applyProtection="1"/>
    <xf numFmtId="0" fontId="12" fillId="0" borderId="0"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0" fillId="0" borderId="0" xfId="0" applyNumberFormat="1" applyFill="1" applyBorder="1" applyAlignment="1" applyProtection="1">
      <alignment horizontal="center" vertical="center" wrapText="1"/>
    </xf>
    <xf numFmtId="43" fontId="51" fillId="0" borderId="0" xfId="73"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4" fillId="0" borderId="0" xfId="0" applyFont="1" applyFill="1" applyBorder="1" applyProtection="1"/>
    <xf numFmtId="0" fontId="8" fillId="0" borderId="0" xfId="0" applyFont="1" applyFill="1" applyBorder="1" applyProtection="1"/>
    <xf numFmtId="0" fontId="65" fillId="0" borderId="0" xfId="0" applyFont="1" applyFill="1" applyBorder="1" applyProtection="1"/>
    <xf numFmtId="0" fontId="6" fillId="0" borderId="0" xfId="0" applyFont="1" applyFill="1" applyBorder="1" applyProtection="1"/>
    <xf numFmtId="0" fontId="66" fillId="0" borderId="0" xfId="68" applyFont="1" applyFill="1" applyBorder="1" applyAlignment="1" applyProtection="1">
      <alignment horizontal="left" vertical="center"/>
    </xf>
    <xf numFmtId="0" fontId="9" fillId="0" borderId="0" xfId="0" applyFont="1" applyFill="1" applyBorder="1" applyProtection="1"/>
    <xf numFmtId="0" fontId="0" fillId="0" borderId="0" xfId="0" applyFill="1" applyBorder="1"/>
    <xf numFmtId="0" fontId="17" fillId="0" borderId="0" xfId="0" applyFont="1" applyFill="1"/>
    <xf numFmtId="0" fontId="67" fillId="0" borderId="0" xfId="0" applyFont="1" applyFill="1"/>
    <xf numFmtId="0" fontId="68" fillId="0" borderId="0" xfId="0" applyFont="1" applyFill="1" applyProtection="1"/>
    <xf numFmtId="0" fontId="68" fillId="0" borderId="0" xfId="0" applyFont="1" applyFill="1"/>
    <xf numFmtId="0" fontId="66" fillId="0" borderId="0" xfId="0" applyFont="1" applyFill="1" applyBorder="1" applyAlignment="1" applyProtection="1">
      <alignment horizontal="left" vertical="center"/>
    </xf>
    <xf numFmtId="0" fontId="40" fillId="28" borderId="0" xfId="0" applyNumberFormat="1" applyFont="1" applyFill="1" applyBorder="1" applyAlignment="1" applyProtection="1">
      <alignment horizontal="center" vertical="center"/>
    </xf>
    <xf numFmtId="166" fontId="49" fillId="28" borderId="0" xfId="0" applyNumberFormat="1" applyFont="1" applyFill="1" applyBorder="1" applyAlignment="1" applyProtection="1">
      <alignment vertical="center"/>
    </xf>
    <xf numFmtId="0" fontId="15" fillId="28" borderId="0" xfId="0" applyFont="1" applyFill="1" applyBorder="1" applyAlignment="1" applyProtection="1">
      <alignment vertical="center"/>
    </xf>
    <xf numFmtId="0" fontId="3" fillId="0" borderId="0" xfId="0" applyFont="1" applyAlignment="1" applyProtection="1">
      <alignment horizontal="center" vertical="center" wrapText="1"/>
    </xf>
    <xf numFmtId="0" fontId="0" fillId="29" borderId="0" xfId="0" applyFill="1" applyProtection="1"/>
    <xf numFmtId="0" fontId="0" fillId="29" borderId="0" xfId="0" applyFill="1" applyBorder="1" applyProtection="1"/>
    <xf numFmtId="0" fontId="5" fillId="0" borderId="0" xfId="0" applyFont="1" applyFill="1" applyBorder="1" applyAlignment="1" applyProtection="1">
      <alignment horizontal="center"/>
    </xf>
    <xf numFmtId="169" fontId="0" fillId="0" borderId="0" xfId="0" applyNumberFormat="1" applyFill="1" applyBorder="1" applyProtection="1"/>
    <xf numFmtId="174" fontId="3" fillId="0" borderId="0" xfId="79" applyFont="1" applyFill="1" applyBorder="1" applyProtection="1"/>
    <xf numFmtId="0" fontId="0" fillId="0" borderId="0" xfId="0" applyBorder="1"/>
    <xf numFmtId="0" fontId="0" fillId="0" borderId="13" xfId="0" applyFill="1" applyBorder="1" applyProtection="1"/>
    <xf numFmtId="0" fontId="42" fillId="0" borderId="0" xfId="67" applyFont="1" applyFill="1" applyBorder="1" applyAlignment="1" applyProtection="1">
      <alignment vertical="center"/>
    </xf>
    <xf numFmtId="0" fontId="3" fillId="0" borderId="13" xfId="0" applyNumberFormat="1" applyFont="1" applyFill="1" applyBorder="1" applyProtection="1"/>
    <xf numFmtId="0" fontId="5" fillId="0" borderId="14" xfId="67" applyFill="1" applyBorder="1" applyProtection="1">
      <alignment vertical="center"/>
    </xf>
    <xf numFmtId="0" fontId="5" fillId="0" borderId="0" xfId="67" applyFill="1" applyBorder="1" applyProtection="1">
      <alignment vertical="center"/>
    </xf>
    <xf numFmtId="166" fontId="67" fillId="0" borderId="0" xfId="0" applyNumberFormat="1" applyFont="1" applyFill="1" applyBorder="1" applyAlignment="1" applyProtection="1">
      <alignment vertical="center"/>
    </xf>
    <xf numFmtId="166" fontId="69" fillId="0" borderId="0" xfId="0" applyNumberFormat="1" applyFont="1" applyFill="1" applyBorder="1" applyAlignment="1" applyProtection="1">
      <alignment vertical="center"/>
    </xf>
    <xf numFmtId="0" fontId="3" fillId="0" borderId="13" xfId="0" applyFont="1" applyFill="1" applyBorder="1" applyProtection="1"/>
    <xf numFmtId="0" fontId="3" fillId="0" borderId="14" xfId="67" applyFont="1" applyFill="1" applyBorder="1" applyProtection="1">
      <alignment vertical="center"/>
    </xf>
    <xf numFmtId="0" fontId="0" fillId="0" borderId="15" xfId="0" applyFill="1" applyBorder="1" applyProtection="1"/>
    <xf numFmtId="0" fontId="9" fillId="0" borderId="16" xfId="0" applyFont="1" applyFill="1" applyBorder="1" applyProtection="1"/>
    <xf numFmtId="0" fontId="9" fillId="0" borderId="17" xfId="0" applyFont="1" applyFill="1" applyBorder="1" applyProtection="1"/>
    <xf numFmtId="0" fontId="5" fillId="0" borderId="14" xfId="67" applyFont="1" applyFill="1" applyBorder="1" applyAlignment="1" applyProtection="1">
      <alignment vertical="center"/>
    </xf>
    <xf numFmtId="166" fontId="69" fillId="0" borderId="0" xfId="0" applyNumberFormat="1" applyFont="1" applyFill="1" applyBorder="1" applyAlignment="1" applyProtection="1">
      <alignment horizontal="right" vertical="center"/>
    </xf>
    <xf numFmtId="166" fontId="52" fillId="0" borderId="18" xfId="0" applyNumberFormat="1" applyFont="1" applyFill="1" applyBorder="1" applyAlignment="1" applyProtection="1">
      <alignment horizontal="left" vertical="center"/>
    </xf>
    <xf numFmtId="0" fontId="0" fillId="0" borderId="17" xfId="0" applyFill="1" applyBorder="1" applyProtection="1"/>
    <xf numFmtId="0" fontId="0" fillId="0" borderId="14" xfId="0" applyFill="1" applyBorder="1"/>
    <xf numFmtId="0" fontId="0" fillId="0" borderId="19" xfId="0" applyFill="1" applyBorder="1" applyProtection="1"/>
    <xf numFmtId="0" fontId="0" fillId="0" borderId="5" xfId="0" applyFill="1" applyBorder="1" applyProtection="1"/>
    <xf numFmtId="0" fontId="5" fillId="0" borderId="17" xfId="67" applyFill="1" applyBorder="1" applyProtection="1">
      <alignment vertical="center"/>
    </xf>
    <xf numFmtId="0" fontId="0" fillId="0" borderId="20" xfId="0" applyFill="1" applyBorder="1" applyProtection="1"/>
    <xf numFmtId="0" fontId="65" fillId="0" borderId="19" xfId="0" applyFont="1" applyFill="1" applyBorder="1" applyProtection="1"/>
    <xf numFmtId="0" fontId="0" fillId="0" borderId="16" xfId="0" applyFill="1" applyBorder="1" applyProtection="1"/>
    <xf numFmtId="0" fontId="4" fillId="0" borderId="13" xfId="0" applyFont="1" applyFill="1" applyBorder="1" applyProtection="1"/>
    <xf numFmtId="0" fontId="70" fillId="0" borderId="0" xfId="0" applyFont="1" applyFill="1" applyBorder="1" applyAlignment="1" applyProtection="1">
      <alignment vertical="center"/>
    </xf>
    <xf numFmtId="166" fontId="45" fillId="0" borderId="0" xfId="0" applyNumberFormat="1" applyFont="1" applyFill="1" applyBorder="1" applyAlignment="1" applyProtection="1">
      <alignment vertical="center"/>
    </xf>
    <xf numFmtId="166" fontId="65" fillId="0" borderId="21" xfId="0" applyNumberFormat="1" applyFont="1" applyFill="1" applyBorder="1" applyAlignment="1" applyProtection="1">
      <alignment horizontal="right" vertical="center"/>
    </xf>
    <xf numFmtId="166" fontId="52" fillId="0" borderId="0" xfId="0" applyNumberFormat="1" applyFont="1" applyFill="1" applyBorder="1" applyAlignment="1" applyProtection="1">
      <alignment horizontal="left" vertical="center"/>
    </xf>
    <xf numFmtId="0" fontId="71" fillId="0" borderId="4" xfId="66" applyFont="1" applyFill="1" applyBorder="1" applyProtection="1">
      <alignment horizontal="center" vertical="center" wrapText="1"/>
    </xf>
    <xf numFmtId="0" fontId="71" fillId="0" borderId="0" xfId="66" applyFont="1" applyFill="1" applyBorder="1" applyProtection="1">
      <alignment horizontal="center" vertical="center" wrapText="1"/>
    </xf>
    <xf numFmtId="0" fontId="71" fillId="0" borderId="0" xfId="0" applyFont="1" applyFill="1" applyBorder="1" applyAlignment="1" applyProtection="1">
      <alignment horizontal="center" vertical="center" wrapText="1"/>
    </xf>
    <xf numFmtId="0" fontId="71" fillId="0" borderId="0" xfId="66" applyFont="1" applyFill="1" applyProtection="1">
      <alignment horizontal="center" vertical="center" wrapText="1"/>
    </xf>
    <xf numFmtId="0" fontId="0" fillId="28" borderId="0" xfId="0" applyFill="1" applyProtection="1"/>
    <xf numFmtId="0" fontId="65" fillId="0" borderId="0" xfId="0" applyFont="1" applyFill="1" applyBorder="1" applyProtection="1"/>
    <xf numFmtId="0" fontId="72" fillId="29" borderId="0" xfId="0" applyFont="1" applyFill="1" applyProtection="1">
      <protection hidden="1"/>
    </xf>
    <xf numFmtId="0" fontId="12" fillId="0" borderId="14" xfId="0" applyFont="1" applyFill="1" applyBorder="1" applyAlignment="1" applyProtection="1">
      <alignment vertical="center"/>
    </xf>
    <xf numFmtId="0" fontId="12" fillId="0" borderId="0" xfId="0" applyFont="1" applyFill="1" applyBorder="1" applyAlignment="1" applyProtection="1">
      <alignment horizontal="right" vertical="center"/>
    </xf>
    <xf numFmtId="0" fontId="69" fillId="0" borderId="0" xfId="66" applyFont="1" applyFill="1" applyAlignment="1" applyProtection="1">
      <alignment horizontal="center" vertical="center" wrapText="1"/>
    </xf>
    <xf numFmtId="0" fontId="69" fillId="0" borderId="0" xfId="0" applyFont="1" applyFill="1" applyBorder="1" applyAlignment="1" applyProtection="1">
      <alignment horizontal="center" vertical="center"/>
    </xf>
    <xf numFmtId="0" fontId="12" fillId="0" borderId="13" xfId="0" applyFont="1" applyFill="1" applyBorder="1" applyAlignment="1" applyProtection="1">
      <alignment vertical="center"/>
    </xf>
    <xf numFmtId="0" fontId="0" fillId="0" borderId="13" xfId="0" applyFill="1" applyBorder="1" applyAlignment="1" applyProtection="1">
      <alignment vertical="center"/>
    </xf>
    <xf numFmtId="0" fontId="40" fillId="0" borderId="14"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14"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19" fillId="0" borderId="0" xfId="66" applyFont="1" applyFill="1" applyAlignment="1" applyProtection="1">
      <alignment horizontal="center" vertical="center"/>
    </xf>
    <xf numFmtId="0" fontId="13" fillId="0" borderId="13" xfId="0" applyFont="1" applyFill="1" applyBorder="1" applyAlignment="1" applyProtection="1">
      <alignment vertical="center"/>
    </xf>
    <xf numFmtId="0" fontId="40" fillId="0" borderId="17" xfId="0" quotePrefix="1" applyFont="1" applyFill="1" applyBorder="1" applyAlignment="1" applyProtection="1">
      <alignment horizontal="center" vertical="center"/>
    </xf>
    <xf numFmtId="0" fontId="40" fillId="0" borderId="17" xfId="0" applyFont="1" applyFill="1" applyBorder="1" applyAlignment="1" applyProtection="1">
      <alignment vertical="center"/>
    </xf>
    <xf numFmtId="166" fontId="16" fillId="0" borderId="0" xfId="0" applyNumberFormat="1" applyFont="1" applyFill="1" applyBorder="1" applyAlignment="1" applyProtection="1">
      <alignment vertical="center"/>
    </xf>
    <xf numFmtId="166" fontId="7" fillId="0" borderId="0" xfId="0" applyNumberFormat="1" applyFont="1" applyFill="1" applyBorder="1" applyAlignment="1" applyProtection="1">
      <alignment vertical="center"/>
    </xf>
    <xf numFmtId="0" fontId="14" fillId="0" borderId="22" xfId="0" applyFont="1" applyFill="1" applyBorder="1" applyAlignment="1" applyProtection="1">
      <alignment horizontal="right" vertical="center"/>
    </xf>
    <xf numFmtId="0" fontId="15" fillId="0" borderId="13" xfId="0" applyFont="1" applyFill="1" applyBorder="1" applyAlignment="1" applyProtection="1">
      <alignment vertical="center"/>
    </xf>
    <xf numFmtId="0" fontId="13" fillId="0" borderId="23" xfId="0" applyFont="1" applyFill="1" applyBorder="1" applyAlignment="1" applyProtection="1">
      <alignment vertical="center"/>
    </xf>
    <xf numFmtId="0" fontId="40" fillId="0" borderId="24" xfId="0" applyFont="1" applyFill="1" applyBorder="1" applyAlignment="1" applyProtection="1">
      <alignment vertical="center"/>
    </xf>
    <xf numFmtId="0" fontId="67" fillId="0" borderId="0" xfId="66" applyFont="1" applyFill="1" applyBorder="1" applyProtection="1">
      <alignment horizontal="center" vertical="center" wrapText="1"/>
    </xf>
    <xf numFmtId="181" fontId="73" fillId="0" borderId="0" xfId="71" applyNumberFormat="1" applyFont="1" applyFill="1" applyBorder="1" applyAlignment="1" applyProtection="1">
      <alignment vertical="center"/>
    </xf>
    <xf numFmtId="179" fontId="7" fillId="0" borderId="0" xfId="71" applyNumberFormat="1" applyFont="1" applyFill="1" applyBorder="1" applyAlignment="1" applyProtection="1">
      <alignment vertical="center"/>
    </xf>
    <xf numFmtId="175" fontId="5" fillId="0" borderId="0" xfId="0" applyNumberFormat="1" applyFont="1" applyFill="1" applyBorder="1" applyAlignment="1" applyProtection="1">
      <alignment horizontal="right" vertical="center"/>
    </xf>
    <xf numFmtId="166" fontId="69" fillId="0" borderId="18" xfId="0" applyNumberFormat="1" applyFont="1" applyFill="1" applyBorder="1" applyAlignment="1" applyProtection="1">
      <alignment vertical="center"/>
    </xf>
    <xf numFmtId="0" fontId="74" fillId="0" borderId="14" xfId="0" applyFont="1" applyFill="1" applyBorder="1" applyAlignment="1" applyProtection="1">
      <alignment vertical="center"/>
    </xf>
    <xf numFmtId="0" fontId="74" fillId="0" borderId="0" xfId="0" applyFont="1" applyFill="1" applyBorder="1" applyAlignment="1" applyProtection="1">
      <alignment horizontal="right" vertical="center"/>
    </xf>
    <xf numFmtId="0" fontId="75" fillId="0" borderId="0" xfId="0" applyFont="1" applyFill="1" applyBorder="1" applyAlignment="1" applyProtection="1">
      <alignment vertical="center"/>
    </xf>
    <xf numFmtId="0" fontId="76" fillId="0" borderId="0" xfId="0" applyFont="1" applyFill="1" applyBorder="1" applyAlignment="1" applyProtection="1">
      <alignment horizontal="center" vertical="center"/>
    </xf>
    <xf numFmtId="0" fontId="74" fillId="0" borderId="13" xfId="0" applyFont="1" applyFill="1" applyBorder="1" applyAlignment="1" applyProtection="1">
      <alignment vertical="center"/>
    </xf>
    <xf numFmtId="166" fontId="41" fillId="0" borderId="0" xfId="0" applyNumberFormat="1" applyFont="1" applyFill="1" applyBorder="1" applyAlignment="1" applyProtection="1">
      <alignment vertical="center"/>
    </xf>
    <xf numFmtId="0" fontId="13" fillId="0" borderId="15" xfId="0" applyFont="1" applyFill="1" applyBorder="1" applyAlignment="1" applyProtection="1">
      <alignment vertical="center"/>
    </xf>
    <xf numFmtId="0" fontId="13" fillId="0" borderId="0" xfId="0" applyFont="1" applyFill="1" applyBorder="1" applyAlignment="1" applyProtection="1">
      <alignment vertical="center"/>
    </xf>
    <xf numFmtId="0" fontId="40" fillId="0" borderId="25" xfId="0" quotePrefix="1" applyFont="1" applyFill="1" applyBorder="1" applyAlignment="1" applyProtection="1">
      <alignment horizontal="center" vertical="center"/>
    </xf>
    <xf numFmtId="0" fontId="3" fillId="0" borderId="23" xfId="0" applyFont="1" applyFill="1" applyBorder="1" applyAlignment="1" applyProtection="1">
      <alignment vertical="center"/>
    </xf>
    <xf numFmtId="49" fontId="5" fillId="0" borderId="16" xfId="67" applyNumberFormat="1" applyFill="1" applyBorder="1" applyAlignment="1" applyProtection="1">
      <alignment vertical="center"/>
    </xf>
    <xf numFmtId="0" fontId="14" fillId="0" borderId="17" xfId="0" applyFont="1" applyFill="1" applyBorder="1" applyAlignment="1" applyProtection="1">
      <alignment horizontal="right" vertical="center"/>
    </xf>
    <xf numFmtId="174" fontId="40" fillId="0" borderId="17" xfId="0" applyNumberFormat="1" applyFont="1" applyFill="1" applyBorder="1" applyAlignment="1" applyProtection="1">
      <alignment vertical="center"/>
    </xf>
    <xf numFmtId="167" fontId="7" fillId="0" borderId="17" xfId="0" applyNumberFormat="1" applyFont="1" applyFill="1" applyBorder="1" applyAlignment="1" applyProtection="1">
      <alignment vertical="center"/>
    </xf>
    <xf numFmtId="0" fontId="3" fillId="0" borderId="15" xfId="0" applyFont="1" applyFill="1" applyBorder="1" applyAlignment="1" applyProtection="1">
      <alignment vertical="center"/>
    </xf>
    <xf numFmtId="167" fontId="16" fillId="0" borderId="26" xfId="0" applyNumberFormat="1" applyFont="1" applyFill="1" applyBorder="1" applyAlignment="1" applyProtection="1">
      <alignment vertical="center"/>
    </xf>
    <xf numFmtId="0" fontId="3" fillId="0" borderId="16" xfId="67" applyFont="1" applyFill="1" applyBorder="1" applyProtection="1">
      <alignment vertical="center"/>
    </xf>
    <xf numFmtId="0" fontId="42" fillId="0" borderId="17" xfId="67" applyFont="1" applyFill="1" applyBorder="1" applyAlignment="1" applyProtection="1">
      <alignment vertical="center"/>
    </xf>
    <xf numFmtId="166" fontId="16" fillId="0" borderId="17" xfId="0" applyNumberFormat="1" applyFont="1" applyFill="1" applyBorder="1" applyAlignment="1" applyProtection="1">
      <alignment vertical="center"/>
    </xf>
    <xf numFmtId="0" fontId="40" fillId="0" borderId="17" xfId="0" applyNumberFormat="1" applyFont="1" applyFill="1" applyBorder="1" applyAlignment="1" applyProtection="1">
      <alignment horizontal="center" vertical="center"/>
    </xf>
    <xf numFmtId="166" fontId="3" fillId="0" borderId="17" xfId="0" applyNumberFormat="1" applyFont="1" applyFill="1" applyBorder="1" applyAlignment="1" applyProtection="1">
      <alignment vertical="center"/>
    </xf>
    <xf numFmtId="166" fontId="3" fillId="30" borderId="27" xfId="0" applyNumberFormat="1" applyFont="1" applyFill="1" applyBorder="1" applyAlignment="1" applyProtection="1">
      <alignment vertical="center"/>
    </xf>
    <xf numFmtId="0" fontId="76" fillId="0" borderId="0" xfId="66" applyFont="1" applyFill="1" applyAlignment="1" applyProtection="1">
      <alignment horizontal="center" vertical="center" wrapText="1"/>
    </xf>
    <xf numFmtId="0" fontId="69" fillId="0" borderId="0" xfId="68" applyFont="1" applyFill="1" applyBorder="1" applyAlignment="1" applyProtection="1">
      <alignment vertical="center"/>
    </xf>
    <xf numFmtId="166" fontId="76" fillId="0" borderId="0" xfId="0" applyNumberFormat="1" applyFont="1" applyFill="1" applyBorder="1" applyAlignment="1" applyProtection="1">
      <alignment vertical="center"/>
    </xf>
    <xf numFmtId="0" fontId="3" fillId="0" borderId="13" xfId="0" applyFont="1" applyFill="1" applyBorder="1" applyAlignment="1" applyProtection="1">
      <alignment vertical="center"/>
    </xf>
    <xf numFmtId="0" fontId="15" fillId="0" borderId="15" xfId="0" applyFont="1" applyFill="1" applyBorder="1" applyAlignment="1" applyProtection="1">
      <alignment vertical="center"/>
    </xf>
    <xf numFmtId="0" fontId="15" fillId="0" borderId="28" xfId="0" applyFont="1" applyFill="1" applyBorder="1" applyAlignment="1" applyProtection="1">
      <alignment vertical="center"/>
    </xf>
    <xf numFmtId="0" fontId="77" fillId="0" borderId="0" xfId="67" applyFont="1" applyFill="1" applyBorder="1" applyAlignment="1" applyProtection="1">
      <alignment horizontal="right" vertical="center"/>
    </xf>
    <xf numFmtId="166" fontId="45" fillId="0" borderId="20" xfId="0" applyNumberFormat="1" applyFont="1" applyFill="1" applyBorder="1" applyAlignment="1" applyProtection="1">
      <alignment vertical="center"/>
    </xf>
    <xf numFmtId="169" fontId="3" fillId="0" borderId="0" xfId="0" applyNumberFormat="1" applyFont="1" applyFill="1" applyBorder="1" applyAlignment="1" applyProtection="1">
      <alignment horizontal="center"/>
    </xf>
    <xf numFmtId="0" fontId="5" fillId="0" borderId="29" xfId="67" applyFont="1" applyFill="1" applyBorder="1" applyAlignment="1" applyProtection="1">
      <alignment horizontal="center" vertical="center"/>
    </xf>
    <xf numFmtId="0" fontId="5" fillId="0" borderId="30" xfId="67"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78" fillId="0" borderId="0" xfId="0" applyFont="1" applyFill="1"/>
    <xf numFmtId="0" fontId="68" fillId="0" borderId="0" xfId="0" applyFont="1" applyFill="1" applyAlignment="1">
      <alignment vertical="center" wrapText="1"/>
    </xf>
    <xf numFmtId="0" fontId="19" fillId="0" borderId="27" xfId="66" applyFont="1" applyFill="1" applyBorder="1" applyProtection="1">
      <alignment horizontal="center" vertical="center" wrapText="1"/>
    </xf>
    <xf numFmtId="0" fontId="4" fillId="0" borderId="27" xfId="66" applyFont="1" applyFill="1" applyBorder="1" applyProtection="1">
      <alignment horizontal="center" vertical="center" wrapText="1"/>
    </xf>
    <xf numFmtId="0" fontId="4" fillId="0" borderId="32" xfId="66" applyFont="1" applyFill="1" applyBorder="1" applyProtection="1">
      <alignment horizontal="center" vertical="center" wrapText="1"/>
    </xf>
    <xf numFmtId="0" fontId="4" fillId="0" borderId="18" xfId="66" applyFont="1" applyFill="1" applyBorder="1" applyProtection="1">
      <alignment horizontal="center" vertical="center" wrapText="1"/>
    </xf>
    <xf numFmtId="0" fontId="5" fillId="0" borderId="6" xfId="66" applyFill="1" applyBorder="1" applyProtection="1">
      <alignment horizontal="center" vertical="center" wrapText="1"/>
    </xf>
    <xf numFmtId="0" fontId="5" fillId="0" borderId="24" xfId="66" applyFill="1" applyBorder="1" applyProtection="1">
      <alignment horizontal="center" vertical="center" wrapText="1"/>
    </xf>
    <xf numFmtId="0" fontId="5" fillId="0" borderId="6" xfId="66" applyFill="1" applyBorder="1" applyAlignment="1" applyProtection="1">
      <alignment horizontal="center" vertical="center" wrapText="1"/>
    </xf>
    <xf numFmtId="166" fontId="52" fillId="30" borderId="27" xfId="0" applyNumberFormat="1" applyFont="1" applyFill="1" applyBorder="1" applyAlignment="1" applyProtection="1">
      <alignment vertical="center"/>
    </xf>
    <xf numFmtId="0" fontId="0" fillId="0" borderId="33" xfId="0" applyBorder="1"/>
    <xf numFmtId="181" fontId="7" fillId="0" borderId="0" xfId="69" applyNumberFormat="1" applyFont="1" applyFill="1" applyBorder="1" applyAlignment="1" applyProtection="1">
      <alignment vertical="center"/>
    </xf>
    <xf numFmtId="182" fontId="7" fillId="0" borderId="0" xfId="71" quotePrefix="1" applyNumberFormat="1" applyFont="1" applyFill="1" applyBorder="1" applyAlignment="1" applyProtection="1">
      <alignment vertical="center"/>
    </xf>
    <xf numFmtId="169" fontId="7" fillId="0" borderId="0" xfId="0" applyNumberFormat="1" applyFont="1" applyFill="1" applyBorder="1" applyAlignment="1" applyProtection="1">
      <alignment horizontal="right"/>
    </xf>
    <xf numFmtId="178" fontId="73" fillId="0" borderId="0" xfId="69" applyNumberFormat="1" applyFont="1" applyFill="1" applyBorder="1" applyAlignment="1" applyProtection="1">
      <alignment vertical="center"/>
    </xf>
    <xf numFmtId="3" fontId="0" fillId="0" borderId="34" xfId="0" applyNumberFormat="1" applyFill="1" applyBorder="1" applyAlignment="1" applyProtection="1">
      <alignment horizontal="center"/>
    </xf>
    <xf numFmtId="3" fontId="0" fillId="0" borderId="25" xfId="0" applyNumberFormat="1" applyFill="1" applyBorder="1" applyAlignment="1" applyProtection="1">
      <alignment horizontal="center"/>
    </xf>
    <xf numFmtId="3" fontId="3" fillId="0" borderId="24" xfId="0" applyNumberFormat="1" applyFont="1" applyFill="1" applyBorder="1" applyAlignment="1" applyProtection="1">
      <alignment horizontal="center"/>
    </xf>
    <xf numFmtId="169" fontId="0" fillId="0" borderId="24" xfId="0" applyNumberFormat="1" applyFill="1" applyBorder="1" applyAlignment="1" applyProtection="1">
      <alignment horizontal="center"/>
    </xf>
    <xf numFmtId="0" fontId="3" fillId="0" borderId="35" xfId="0" applyFont="1" applyFill="1" applyBorder="1" applyAlignment="1" applyProtection="1">
      <alignment horizontal="center"/>
    </xf>
    <xf numFmtId="1" fontId="0" fillId="0" borderId="24" xfId="0" applyNumberFormat="1" applyFill="1" applyBorder="1" applyAlignment="1" applyProtection="1">
      <alignment horizontal="center"/>
    </xf>
    <xf numFmtId="0" fontId="0" fillId="0" borderId="24" xfId="0" applyFill="1" applyBorder="1" applyAlignment="1" applyProtection="1">
      <alignment horizontal="center"/>
    </xf>
    <xf numFmtId="174" fontId="3" fillId="0" borderId="24" xfId="79" applyFont="1" applyFill="1" applyBorder="1" applyAlignment="1" applyProtection="1">
      <alignment horizontal="center"/>
    </xf>
    <xf numFmtId="174" fontId="3" fillId="0" borderId="24" xfId="79" applyFill="1" applyBorder="1" applyAlignment="1" applyProtection="1">
      <alignment horizontal="center"/>
    </xf>
    <xf numFmtId="174" fontId="3" fillId="0" borderId="21" xfId="79" applyFill="1" applyBorder="1" applyAlignment="1" applyProtection="1">
      <alignment horizontal="center"/>
    </xf>
    <xf numFmtId="0" fontId="0" fillId="0" borderId="20" xfId="0" applyFill="1" applyBorder="1" applyAlignment="1" applyProtection="1">
      <alignment horizontal="center"/>
    </xf>
    <xf numFmtId="0" fontId="0" fillId="0" borderId="34" xfId="0" applyFill="1" applyBorder="1" applyAlignment="1" applyProtection="1">
      <alignment horizontal="center"/>
    </xf>
    <xf numFmtId="174" fontId="3" fillId="0" borderId="34" xfId="79" applyFont="1" applyFill="1" applyBorder="1" applyAlignment="1" applyProtection="1">
      <alignment horizontal="center"/>
    </xf>
    <xf numFmtId="174" fontId="3" fillId="0" borderId="34" xfId="79" applyFill="1" applyBorder="1" applyAlignment="1" applyProtection="1">
      <alignment horizontal="center"/>
    </xf>
    <xf numFmtId="174" fontId="3" fillId="0" borderId="22" xfId="79" applyFill="1" applyBorder="1" applyAlignment="1" applyProtection="1">
      <alignment horizontal="center"/>
    </xf>
    <xf numFmtId="0" fontId="0" fillId="0" borderId="36" xfId="0" applyFill="1" applyBorder="1" applyAlignment="1" applyProtection="1">
      <alignment horizontal="center"/>
    </xf>
    <xf numFmtId="0" fontId="0" fillId="0" borderId="25" xfId="0" applyFill="1" applyBorder="1" applyAlignment="1" applyProtection="1">
      <alignment horizontal="center"/>
    </xf>
    <xf numFmtId="174" fontId="3" fillId="0" borderId="25" xfId="79" applyFont="1" applyFill="1" applyBorder="1" applyAlignment="1" applyProtection="1">
      <alignment horizontal="center"/>
    </xf>
    <xf numFmtId="174" fontId="3" fillId="0" borderId="25" xfId="79" applyFill="1" applyBorder="1" applyAlignment="1" applyProtection="1">
      <alignment horizontal="center"/>
    </xf>
    <xf numFmtId="174" fontId="3" fillId="0" borderId="37" xfId="79" applyFill="1" applyBorder="1" applyAlignment="1" applyProtection="1">
      <alignment horizontal="center"/>
    </xf>
    <xf numFmtId="0" fontId="77" fillId="0" borderId="0" xfId="68" applyFont="1" applyFill="1" applyBorder="1" applyAlignment="1" applyProtection="1">
      <alignment horizontal="right" vertical="center"/>
    </xf>
    <xf numFmtId="0" fontId="3" fillId="0" borderId="14" xfId="67" applyFont="1" applyFill="1" applyBorder="1" applyAlignment="1" applyProtection="1">
      <alignment vertical="center"/>
    </xf>
    <xf numFmtId="180" fontId="40" fillId="0" borderId="0" xfId="0" applyNumberFormat="1" applyFont="1" applyFill="1" applyBorder="1" applyAlignment="1" applyProtection="1">
      <alignment vertical="center"/>
    </xf>
    <xf numFmtId="0" fontId="0" fillId="0" borderId="0" xfId="0" applyFill="1" applyBorder="1" applyAlignment="1" applyProtection="1"/>
    <xf numFmtId="0" fontId="5" fillId="0" borderId="38" xfId="67" applyFill="1" applyBorder="1" applyAlignment="1" applyProtection="1"/>
    <xf numFmtId="0" fontId="5" fillId="0" borderId="0" xfId="67" applyFill="1" applyBorder="1" applyAlignment="1" applyProtection="1">
      <alignment horizontal="center"/>
    </xf>
    <xf numFmtId="180" fontId="7" fillId="0" borderId="0" xfId="69" applyNumberFormat="1" applyFill="1" applyBorder="1" applyAlignment="1" applyProtection="1">
      <alignment horizontal="center"/>
    </xf>
    <xf numFmtId="0" fontId="40" fillId="0" borderId="0" xfId="0" applyFont="1" applyFill="1" applyBorder="1" applyAlignment="1" applyProtection="1"/>
    <xf numFmtId="0" fontId="0" fillId="0" borderId="13" xfId="0" applyFill="1" applyBorder="1" applyAlignment="1" applyProtection="1"/>
    <xf numFmtId="0" fontId="0" fillId="0" borderId="0" xfId="0" applyFill="1" applyAlignment="1" applyProtection="1"/>
    <xf numFmtId="0" fontId="0" fillId="28" borderId="0" xfId="0" applyFill="1" applyAlignment="1" applyProtection="1"/>
    <xf numFmtId="181" fontId="7" fillId="0" borderId="0" xfId="71" applyNumberFormat="1" applyFill="1" applyBorder="1" applyAlignment="1" applyProtection="1">
      <alignment horizontal="center"/>
    </xf>
    <xf numFmtId="0" fontId="5" fillId="0" borderId="4" xfId="67" applyFill="1" applyAlignment="1" applyProtection="1"/>
    <xf numFmtId="0" fontId="40" fillId="0" borderId="21" xfId="0" applyFont="1" applyFill="1" applyBorder="1" applyAlignment="1" applyProtection="1">
      <alignment vertical="center"/>
    </xf>
    <xf numFmtId="0" fontId="69" fillId="0" borderId="14" xfId="68" applyFont="1" applyFill="1" applyBorder="1" applyAlignment="1" applyProtection="1">
      <alignment vertical="center"/>
    </xf>
    <xf numFmtId="0" fontId="69" fillId="0" borderId="0" xfId="68" applyFont="1" applyFill="1" applyBorder="1" applyAlignment="1" applyProtection="1">
      <alignment horizontal="right" vertical="center"/>
    </xf>
    <xf numFmtId="166" fontId="76" fillId="0" borderId="0" xfId="0" applyNumberFormat="1" applyFont="1" applyFill="1" applyBorder="1" applyAlignment="1" applyProtection="1">
      <alignment horizontal="right" vertical="center"/>
    </xf>
    <xf numFmtId="0" fontId="66" fillId="0" borderId="14" xfId="68" applyFont="1" applyFill="1" applyBorder="1" applyProtection="1">
      <alignment vertical="center"/>
    </xf>
    <xf numFmtId="0" fontId="3" fillId="0" borderId="0" xfId="0" applyFont="1" applyAlignment="1" applyProtection="1">
      <alignment vertical="center"/>
    </xf>
    <xf numFmtId="168" fontId="3" fillId="0" borderId="0" xfId="76" applyFont="1" applyFill="1" applyAlignment="1" applyProtection="1">
      <alignment vertical="center"/>
    </xf>
    <xf numFmtId="168" fontId="3" fillId="0" borderId="0" xfId="76" applyFont="1" applyFill="1" applyBorder="1" applyAlignment="1" applyProtection="1">
      <alignment horizontal="center" vertical="center"/>
    </xf>
    <xf numFmtId="168" fontId="3" fillId="0" borderId="0" xfId="76" applyFont="1" applyProtection="1"/>
    <xf numFmtId="168" fontId="3" fillId="0" borderId="0" xfId="76" applyFont="1"/>
    <xf numFmtId="168" fontId="20" fillId="0" borderId="0" xfId="76" applyFont="1" applyFill="1" applyAlignment="1" applyProtection="1">
      <alignment vertical="center"/>
    </xf>
    <xf numFmtId="0" fontId="3" fillId="0" borderId="0" xfId="0" applyFont="1" applyAlignment="1">
      <alignment vertical="center"/>
    </xf>
    <xf numFmtId="168" fontId="53" fillId="29" borderId="0" xfId="76" applyFont="1" applyFill="1" applyBorder="1" applyAlignment="1" applyProtection="1">
      <alignment horizontal="center" vertical="center"/>
    </xf>
    <xf numFmtId="168" fontId="3" fillId="0" borderId="6" xfId="76" applyFont="1" applyFill="1" applyBorder="1" applyAlignment="1" applyProtection="1">
      <alignment vertical="center"/>
    </xf>
    <xf numFmtId="168" fontId="3" fillId="29" borderId="0" xfId="76" applyFont="1" applyFill="1" applyBorder="1" applyAlignment="1" applyProtection="1">
      <alignment horizontal="left" vertical="center"/>
    </xf>
    <xf numFmtId="168" fontId="3" fillId="0" borderId="0" xfId="76" applyFont="1" applyFill="1"/>
    <xf numFmtId="168" fontId="20" fillId="29" borderId="0" xfId="76" applyFont="1" applyFill="1" applyBorder="1" applyAlignment="1" applyProtection="1">
      <alignment horizontal="left" vertical="center"/>
    </xf>
    <xf numFmtId="168" fontId="3" fillId="0" borderId="18" xfId="76" applyFont="1" applyFill="1" applyBorder="1" applyAlignment="1" applyProtection="1">
      <alignment vertical="center"/>
    </xf>
    <xf numFmtId="4" fontId="5" fillId="0" borderId="0" xfId="76" applyNumberFormat="1" applyFont="1" applyFill="1" applyAlignment="1" applyProtection="1">
      <alignment vertical="center"/>
      <protection hidden="1"/>
    </xf>
    <xf numFmtId="4" fontId="5" fillId="0" borderId="0" xfId="76" applyNumberFormat="1" applyFont="1" applyFill="1" applyAlignment="1" applyProtection="1">
      <alignment vertical="center"/>
    </xf>
    <xf numFmtId="4" fontId="5" fillId="29" borderId="32" xfId="76" applyNumberFormat="1" applyFont="1" applyFill="1" applyBorder="1" applyAlignment="1" applyProtection="1">
      <alignment vertical="center"/>
      <protection locked="0"/>
    </xf>
    <xf numFmtId="168" fontId="5" fillId="0" borderId="0" xfId="76" applyFont="1" applyFill="1" applyBorder="1" applyAlignment="1" applyProtection="1">
      <alignment vertical="center"/>
      <protection locked="0"/>
    </xf>
    <xf numFmtId="4" fontId="5" fillId="28" borderId="32" xfId="76" applyNumberFormat="1" applyFont="1" applyFill="1" applyBorder="1" applyAlignment="1" applyProtection="1">
      <alignment vertical="center"/>
      <protection locked="0"/>
    </xf>
    <xf numFmtId="168" fontId="20" fillId="28" borderId="0" xfId="76" applyFont="1" applyFill="1" applyAlignment="1" applyProtection="1">
      <alignment vertical="center"/>
      <protection locked="0"/>
    </xf>
    <xf numFmtId="168" fontId="3" fillId="28" borderId="0" xfId="76" applyFont="1" applyFill="1" applyAlignment="1" applyProtection="1">
      <alignment vertical="center"/>
      <protection locked="0"/>
    </xf>
    <xf numFmtId="168" fontId="5" fillId="0" borderId="0" xfId="76" applyFont="1" applyFill="1" applyAlignment="1" applyProtection="1">
      <alignment vertical="center"/>
    </xf>
    <xf numFmtId="168" fontId="5" fillId="0" borderId="0" xfId="76" applyFont="1" applyFill="1" applyBorder="1" applyAlignment="1" applyProtection="1">
      <alignment vertical="center"/>
    </xf>
    <xf numFmtId="168" fontId="5" fillId="0" borderId="0" xfId="76" applyFont="1" applyFill="1" applyAlignment="1">
      <alignment horizontal="left" vertical="center"/>
    </xf>
    <xf numFmtId="168" fontId="3" fillId="0" borderId="0" xfId="76" applyFont="1" applyFill="1" applyAlignment="1" applyProtection="1">
      <alignment vertical="center"/>
      <protection locked="0"/>
    </xf>
    <xf numFmtId="3" fontId="5" fillId="0" borderId="0" xfId="76" applyNumberFormat="1" applyFont="1" applyFill="1" applyAlignment="1" applyProtection="1">
      <alignment vertical="center"/>
    </xf>
    <xf numFmtId="3" fontId="5" fillId="0" borderId="0" xfId="76" applyNumberFormat="1" applyFont="1" applyFill="1" applyBorder="1" applyAlignment="1" applyProtection="1">
      <alignment vertical="center"/>
    </xf>
    <xf numFmtId="168" fontId="5" fillId="0" borderId="0" xfId="76" applyFont="1" applyFill="1" applyBorder="1" applyAlignment="1" applyProtection="1">
      <alignment horizontal="center" vertical="center"/>
      <protection hidden="1"/>
    </xf>
    <xf numFmtId="168" fontId="5" fillId="0" borderId="0" xfId="76" applyFont="1" applyFill="1" applyBorder="1" applyAlignment="1" applyProtection="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xf>
    <xf numFmtId="168" fontId="78" fillId="0" borderId="0" xfId="76" applyFont="1" applyFill="1" applyAlignment="1" applyProtection="1">
      <alignment vertical="center"/>
    </xf>
    <xf numFmtId="168" fontId="5" fillId="0" borderId="0" xfId="76" applyFont="1" applyFill="1" applyBorder="1" applyAlignment="1" applyProtection="1">
      <alignment horizontal="right" vertical="center"/>
    </xf>
    <xf numFmtId="165" fontId="3" fillId="28" borderId="39" xfId="76" applyNumberFormat="1" applyFont="1" applyFill="1" applyBorder="1" applyAlignment="1" applyProtection="1">
      <alignment vertical="center"/>
      <protection hidden="1"/>
    </xf>
    <xf numFmtId="168" fontId="5" fillId="28" borderId="0" xfId="76" applyFont="1" applyFill="1" applyAlignment="1" applyProtection="1">
      <alignment vertical="center"/>
      <protection locked="0"/>
    </xf>
    <xf numFmtId="168" fontId="79" fillId="0" borderId="0" xfId="76" applyFont="1" applyFill="1" applyAlignment="1" applyProtection="1">
      <alignment vertical="center"/>
    </xf>
    <xf numFmtId="3" fontId="5" fillId="0" borderId="0" xfId="76" applyNumberFormat="1" applyFont="1" applyFill="1" applyAlignment="1" applyProtection="1">
      <alignment vertical="center"/>
      <protection hidden="1"/>
    </xf>
    <xf numFmtId="0" fontId="3" fillId="0" borderId="0" xfId="0" applyFont="1" applyAlignment="1" applyProtection="1">
      <alignment vertical="center"/>
      <protection hidden="1"/>
    </xf>
    <xf numFmtId="174" fontId="5" fillId="28" borderId="39" xfId="79" applyFont="1" applyFill="1" applyBorder="1" applyAlignment="1" applyProtection="1">
      <alignment horizontal="right" vertical="center"/>
      <protection hidden="1"/>
    </xf>
    <xf numFmtId="168" fontId="78" fillId="0" borderId="0" xfId="76" applyFont="1" applyFill="1" applyBorder="1" applyAlignment="1" applyProtection="1">
      <alignment vertical="center"/>
    </xf>
    <xf numFmtId="9" fontId="3" fillId="28" borderId="39" xfId="76" applyNumberFormat="1" applyFont="1" applyFill="1" applyBorder="1" applyAlignment="1" applyProtection="1">
      <alignment vertical="center"/>
      <protection hidden="1"/>
    </xf>
    <xf numFmtId="168" fontId="80" fillId="0" borderId="0" xfId="76" applyFont="1" applyFill="1" applyAlignment="1" applyProtection="1">
      <alignment vertical="center"/>
    </xf>
    <xf numFmtId="168" fontId="3" fillId="0" borderId="0" xfId="76" applyFont="1" applyFill="1" applyBorder="1" applyAlignment="1" applyProtection="1">
      <alignment vertical="center"/>
    </xf>
    <xf numFmtId="0" fontId="3" fillId="0" borderId="0" xfId="0" applyFont="1" applyProtection="1"/>
    <xf numFmtId="0" fontId="3" fillId="0" borderId="0" xfId="0" applyFont="1"/>
    <xf numFmtId="168" fontId="3" fillId="0" borderId="0" xfId="76" applyFont="1" applyFill="1" applyProtection="1"/>
    <xf numFmtId="2" fontId="3" fillId="0" borderId="0" xfId="76" applyNumberFormat="1" applyFont="1"/>
    <xf numFmtId="168" fontId="5" fillId="0" borderId="0" xfId="76" applyFont="1" applyFill="1" applyBorder="1" applyAlignment="1" applyProtection="1"/>
    <xf numFmtId="168" fontId="76" fillId="0" borderId="0" xfId="76" applyFont="1" applyFill="1" applyAlignment="1" applyProtection="1">
      <alignment horizontal="left"/>
    </xf>
    <xf numFmtId="168" fontId="5" fillId="0" borderId="0" xfId="76" applyFont="1" applyFill="1" applyProtection="1"/>
    <xf numFmtId="168" fontId="52" fillId="0" borderId="34" xfId="76" applyFont="1" applyFill="1" applyBorder="1" applyAlignment="1" applyProtection="1">
      <alignment horizontal="center"/>
    </xf>
    <xf numFmtId="168" fontId="54" fillId="0" borderId="40" xfId="76" applyFont="1" applyFill="1" applyBorder="1" applyAlignment="1" applyProtection="1">
      <alignment horizontal="center" vertical="center"/>
    </xf>
    <xf numFmtId="168" fontId="54" fillId="0" borderId="41" xfId="76" applyFont="1" applyFill="1" applyBorder="1" applyAlignment="1" applyProtection="1">
      <alignment horizontal="center" vertical="center"/>
    </xf>
    <xf numFmtId="168" fontId="54" fillId="0" borderId="30" xfId="76" applyFont="1" applyFill="1" applyBorder="1" applyAlignment="1" applyProtection="1">
      <alignment horizontal="center" vertical="center"/>
    </xf>
    <xf numFmtId="168" fontId="54" fillId="0" borderId="30" xfId="76" applyFont="1" applyFill="1" applyBorder="1" applyAlignment="1" applyProtection="1">
      <alignment horizontal="center" vertical="center"/>
      <protection locked="0"/>
    </xf>
    <xf numFmtId="168" fontId="54" fillId="0" borderId="42" xfId="76" applyFont="1" applyFill="1" applyBorder="1" applyAlignment="1" applyProtection="1">
      <alignment horizontal="center" vertical="center"/>
      <protection locked="0"/>
    </xf>
    <xf numFmtId="168" fontId="54" fillId="0" borderId="31" xfId="76" applyFont="1" applyFill="1" applyBorder="1" applyAlignment="1" applyProtection="1">
      <alignment horizontal="center" vertical="center"/>
    </xf>
    <xf numFmtId="168" fontId="20" fillId="0" borderId="0" xfId="76" applyFont="1" applyFill="1" applyProtection="1"/>
    <xf numFmtId="168" fontId="3" fillId="0" borderId="0" xfId="76" applyFont="1" applyFill="1" applyBorder="1" applyProtection="1"/>
    <xf numFmtId="4" fontId="3" fillId="28" borderId="6" xfId="76" applyNumberFormat="1" applyFont="1" applyFill="1" applyBorder="1" applyAlignment="1" applyProtection="1">
      <alignment vertical="center"/>
      <protection locked="0"/>
    </xf>
    <xf numFmtId="4" fontId="3" fillId="28" borderId="18" xfId="76" applyNumberFormat="1" applyFont="1" applyFill="1" applyBorder="1" applyAlignment="1" applyProtection="1">
      <alignment vertical="center"/>
      <protection locked="0"/>
    </xf>
    <xf numFmtId="168" fontId="3" fillId="0" borderId="6" xfId="76" quotePrefix="1" applyFont="1" applyFill="1" applyBorder="1" applyAlignment="1" applyProtection="1">
      <alignment horizontal="center" vertical="center"/>
    </xf>
    <xf numFmtId="168" fontId="3" fillId="0" borderId="6" xfId="76" applyFont="1" applyFill="1" applyBorder="1" applyAlignment="1" applyProtection="1">
      <alignment horizontal="center" vertical="center"/>
    </xf>
    <xf numFmtId="168" fontId="55" fillId="0" borderId="0" xfId="76" applyFont="1" applyFill="1" applyAlignment="1" applyProtection="1">
      <alignment vertical="center"/>
    </xf>
    <xf numFmtId="168" fontId="54" fillId="0" borderId="0" xfId="76" applyFont="1" applyFill="1" applyAlignment="1" applyProtection="1">
      <alignment vertical="center"/>
    </xf>
    <xf numFmtId="168" fontId="3" fillId="0" borderId="0" xfId="76" applyFont="1" applyFill="1" applyBorder="1" applyAlignment="1" applyProtection="1">
      <alignment horizontal="center"/>
    </xf>
    <xf numFmtId="4" fontId="3" fillId="28" borderId="43" xfId="76" applyNumberFormat="1" applyFont="1" applyFill="1" applyBorder="1" applyAlignment="1" applyProtection="1">
      <alignment vertical="center"/>
      <protection locked="0"/>
    </xf>
    <xf numFmtId="4" fontId="3" fillId="28" borderId="26" xfId="76" applyNumberFormat="1" applyFont="1" applyFill="1" applyBorder="1" applyAlignment="1" applyProtection="1">
      <alignment vertical="center"/>
      <protection locked="0"/>
    </xf>
    <xf numFmtId="168" fontId="3" fillId="0" borderId="43" xfId="76" applyFont="1" applyFill="1" applyBorder="1" applyAlignment="1" applyProtection="1">
      <alignment horizontal="center" vertical="center"/>
    </xf>
    <xf numFmtId="168" fontId="5" fillId="0" borderId="0" xfId="76" applyFont="1" applyFill="1" applyAlignment="1" applyProtection="1">
      <alignment horizontal="right"/>
    </xf>
    <xf numFmtId="4" fontId="5" fillId="28" borderId="15" xfId="76" applyNumberFormat="1" applyFont="1" applyFill="1" applyBorder="1" applyProtection="1">
      <protection locked="0"/>
    </xf>
    <xf numFmtId="4" fontId="5" fillId="28" borderId="0" xfId="76" applyNumberFormat="1" applyFont="1" applyFill="1" applyBorder="1" applyProtection="1">
      <protection locked="0"/>
    </xf>
    <xf numFmtId="168" fontId="5" fillId="0" borderId="0" xfId="76" applyFont="1" applyFill="1" applyAlignment="1" applyProtection="1">
      <alignment horizontal="center"/>
    </xf>
    <xf numFmtId="4" fontId="3" fillId="0" borderId="0" xfId="76" applyNumberFormat="1" applyFont="1" applyFill="1" applyProtection="1"/>
    <xf numFmtId="4" fontId="3" fillId="0" borderId="0" xfId="76" applyNumberFormat="1" applyFont="1" applyFill="1" applyProtection="1">
      <protection locked="0"/>
    </xf>
    <xf numFmtId="4" fontId="54" fillId="0" borderId="0" xfId="76" applyNumberFormat="1" applyFont="1" applyFill="1" applyAlignment="1" applyProtection="1">
      <alignment horizontal="center"/>
      <protection locked="0"/>
    </xf>
    <xf numFmtId="168" fontId="20" fillId="0" borderId="0" xfId="76" applyFont="1" applyFill="1" applyBorder="1" applyAlignment="1" applyProtection="1">
      <alignment vertical="center"/>
    </xf>
    <xf numFmtId="168" fontId="54" fillId="0" borderId="42" xfId="76" applyFont="1" applyFill="1" applyBorder="1" applyAlignment="1" applyProtection="1">
      <alignment horizontal="center" vertical="center"/>
    </xf>
    <xf numFmtId="4" fontId="54" fillId="0" borderId="30" xfId="76" applyNumberFormat="1" applyFont="1" applyFill="1" applyBorder="1" applyAlignment="1" applyProtection="1">
      <alignment horizontal="center" vertical="center"/>
    </xf>
    <xf numFmtId="4" fontId="5" fillId="0" borderId="30" xfId="76" applyNumberFormat="1" applyFont="1" applyFill="1" applyBorder="1" applyAlignment="1" applyProtection="1">
      <alignment vertical="center"/>
    </xf>
    <xf numFmtId="4" fontId="54" fillId="0" borderId="44" xfId="76" applyNumberFormat="1" applyFont="1" applyFill="1" applyBorder="1" applyAlignment="1" applyProtection="1">
      <alignment vertical="center"/>
    </xf>
    <xf numFmtId="4" fontId="3" fillId="29" borderId="24" xfId="76" applyNumberFormat="1" applyFont="1" applyFill="1" applyBorder="1" applyAlignment="1" applyProtection="1">
      <alignment vertical="center"/>
      <protection locked="0"/>
    </xf>
    <xf numFmtId="4" fontId="3" fillId="28" borderId="34" xfId="76" applyNumberFormat="1" applyFont="1" applyFill="1" applyBorder="1" applyAlignment="1" applyProtection="1">
      <alignment vertical="center"/>
      <protection locked="0"/>
    </xf>
    <xf numFmtId="168" fontId="3" fillId="28" borderId="6" xfId="76" applyFont="1" applyFill="1" applyBorder="1" applyAlignment="1" applyProtection="1">
      <alignment horizontal="center" vertical="center"/>
    </xf>
    <xf numFmtId="49" fontId="3" fillId="28" borderId="45" xfId="76" applyNumberFormat="1" applyFont="1" applyFill="1" applyBorder="1" applyAlignment="1" applyProtection="1">
      <alignment horizontal="center" vertical="center"/>
    </xf>
    <xf numFmtId="168" fontId="3" fillId="0" borderId="34" xfId="76" applyFont="1" applyFill="1" applyBorder="1" applyAlignment="1" applyProtection="1">
      <alignment vertical="center"/>
    </xf>
    <xf numFmtId="171" fontId="3" fillId="0" borderId="34" xfId="76" applyNumberFormat="1" applyFont="1" applyFill="1" applyBorder="1" applyAlignment="1" applyProtection="1">
      <alignment horizontal="right" vertical="center"/>
    </xf>
    <xf numFmtId="171" fontId="3" fillId="0" borderId="45" xfId="76" applyNumberFormat="1" applyFont="1" applyFill="1" applyBorder="1" applyAlignment="1" applyProtection="1">
      <alignment horizontal="right" vertical="center"/>
    </xf>
    <xf numFmtId="4" fontId="3" fillId="29" borderId="6" xfId="76" applyNumberFormat="1" applyFont="1" applyFill="1" applyBorder="1" applyAlignment="1" applyProtection="1">
      <alignment vertical="center"/>
      <protection locked="0"/>
    </xf>
    <xf numFmtId="168" fontId="3" fillId="28" borderId="45" xfId="76" applyFont="1" applyFill="1" applyBorder="1" applyAlignment="1" applyProtection="1">
      <alignment horizontal="center" vertical="center"/>
    </xf>
    <xf numFmtId="171" fontId="3" fillId="0" borderId="6" xfId="76" quotePrefix="1" applyNumberFormat="1" applyFont="1" applyFill="1" applyBorder="1" applyAlignment="1" applyProtection="1">
      <alignment horizontal="right" vertical="center"/>
    </xf>
    <xf numFmtId="171" fontId="5" fillId="0" borderId="0" xfId="76" applyNumberFormat="1" applyFont="1" applyFill="1" applyBorder="1" applyAlignment="1" applyProtection="1">
      <alignment horizontal="right"/>
    </xf>
    <xf numFmtId="2" fontId="3" fillId="0" borderId="6" xfId="76" applyNumberFormat="1" applyFont="1" applyFill="1" applyBorder="1" applyAlignment="1" applyProtection="1">
      <alignment vertical="center"/>
      <protection hidden="1"/>
    </xf>
    <xf numFmtId="168" fontId="3" fillId="0" borderId="25" xfId="76" applyFont="1" applyFill="1" applyBorder="1" applyAlignment="1" applyProtection="1">
      <alignment vertical="center"/>
    </xf>
    <xf numFmtId="171" fontId="3" fillId="0" borderId="25" xfId="76" applyNumberFormat="1" applyFont="1" applyFill="1" applyBorder="1" applyAlignment="1" applyProtection="1">
      <alignment horizontal="right" vertical="center"/>
    </xf>
    <xf numFmtId="171" fontId="3" fillId="0" borderId="46" xfId="76" applyNumberFormat="1" applyFont="1" applyFill="1" applyBorder="1" applyAlignment="1" applyProtection="1">
      <alignment horizontal="right" vertical="center"/>
    </xf>
    <xf numFmtId="171" fontId="5" fillId="0" borderId="0" xfId="76" applyNumberFormat="1" applyFont="1" applyFill="1" applyAlignment="1" applyProtection="1">
      <alignment horizontal="right"/>
    </xf>
    <xf numFmtId="168" fontId="3" fillId="28" borderId="43" xfId="76" applyFont="1" applyFill="1" applyBorder="1" applyAlignment="1" applyProtection="1">
      <alignment horizontal="center" vertical="center"/>
    </xf>
    <xf numFmtId="168" fontId="3" fillId="28" borderId="47" xfId="76" applyFont="1" applyFill="1" applyBorder="1" applyAlignment="1" applyProtection="1">
      <alignment horizontal="center" vertical="center"/>
    </xf>
    <xf numFmtId="4" fontId="3" fillId="29" borderId="32" xfId="76" applyNumberFormat="1" applyFont="1" applyFill="1" applyBorder="1" applyAlignment="1" applyProtection="1">
      <alignment vertical="center"/>
      <protection locked="0"/>
    </xf>
    <xf numFmtId="4" fontId="3" fillId="28" borderId="0" xfId="76" applyNumberFormat="1" applyFont="1" applyFill="1" applyAlignment="1" applyProtection="1">
      <alignment vertical="center"/>
      <protection locked="0"/>
    </xf>
    <xf numFmtId="168" fontId="5" fillId="0" borderId="0" xfId="76" applyFont="1" applyFill="1" applyAlignment="1" applyProtection="1">
      <alignment horizontal="center" vertical="center"/>
    </xf>
    <xf numFmtId="168" fontId="5" fillId="0" borderId="0" xfId="76" applyFont="1" applyFill="1" applyAlignment="1" applyProtection="1">
      <alignment horizontal="right" vertical="center"/>
    </xf>
    <xf numFmtId="4" fontId="5" fillId="28" borderId="0" xfId="76" applyNumberFormat="1" applyFont="1" applyFill="1" applyAlignment="1" applyProtection="1">
      <alignment vertical="center"/>
    </xf>
    <xf numFmtId="168" fontId="3" fillId="0" borderId="48" xfId="76" applyFont="1" applyFill="1" applyBorder="1" applyAlignment="1" applyProtection="1">
      <alignment vertical="center"/>
    </xf>
    <xf numFmtId="171" fontId="3" fillId="0" borderId="48" xfId="76" applyNumberFormat="1" applyFont="1" applyFill="1" applyBorder="1" applyAlignment="1" applyProtection="1">
      <alignment horizontal="right" vertical="center"/>
    </xf>
    <xf numFmtId="171" fontId="3" fillId="0" borderId="49" xfId="76" applyNumberFormat="1" applyFont="1" applyFill="1" applyBorder="1" applyAlignment="1" applyProtection="1">
      <alignment horizontal="right" vertical="center"/>
    </xf>
    <xf numFmtId="4" fontId="54" fillId="0" borderId="0" xfId="76" applyNumberFormat="1" applyFont="1" applyFill="1" applyAlignment="1" applyProtection="1">
      <alignment horizontal="center" vertical="center"/>
    </xf>
    <xf numFmtId="168" fontId="3" fillId="0" borderId="0" xfId="76" applyFont="1" applyAlignment="1" applyProtection="1">
      <alignment vertical="center"/>
    </xf>
    <xf numFmtId="168" fontId="76" fillId="0" borderId="0" xfId="76" applyFont="1" applyFill="1" applyAlignment="1" applyProtection="1">
      <alignment horizontal="left" vertical="center"/>
    </xf>
    <xf numFmtId="168" fontId="53" fillId="0" borderId="0" xfId="76" applyFont="1" applyFill="1" applyAlignment="1" applyProtection="1">
      <alignment horizontal="centerContinuous" vertical="center"/>
      <protection locked="0"/>
    </xf>
    <xf numFmtId="171" fontId="5" fillId="0" borderId="0" xfId="76" applyNumberFormat="1" applyFont="1" applyFill="1" applyBorder="1" applyAlignment="1" applyProtection="1">
      <alignment horizontal="right" vertical="center"/>
    </xf>
    <xf numFmtId="168" fontId="3" fillId="28" borderId="45" xfId="76" quotePrefix="1" applyFont="1" applyFill="1" applyBorder="1" applyAlignment="1" applyProtection="1">
      <alignment horizontal="center" vertical="center"/>
    </xf>
    <xf numFmtId="168" fontId="3" fillId="28" borderId="50" xfId="76" applyFont="1" applyFill="1" applyBorder="1" applyAlignment="1" applyProtection="1">
      <alignment horizontal="right" vertical="center"/>
    </xf>
    <xf numFmtId="168" fontId="3" fillId="28" borderId="51" xfId="76" applyFont="1" applyFill="1" applyBorder="1" applyAlignment="1" applyProtection="1">
      <alignment horizontal="right" vertical="center"/>
    </xf>
    <xf numFmtId="168" fontId="20" fillId="28" borderId="52" xfId="76" applyFont="1" applyFill="1" applyBorder="1" applyAlignment="1" applyProtection="1">
      <alignment horizontal="right" vertical="center"/>
    </xf>
    <xf numFmtId="168" fontId="3" fillId="28" borderId="53" xfId="76" applyFont="1" applyFill="1" applyBorder="1" applyAlignment="1" applyProtection="1">
      <alignment horizontal="right" vertical="center"/>
    </xf>
    <xf numFmtId="4" fontId="54" fillId="28" borderId="0" xfId="76" applyNumberFormat="1" applyFont="1" applyFill="1" applyAlignment="1" applyProtection="1">
      <alignment horizontal="center" vertical="center"/>
    </xf>
    <xf numFmtId="1" fontId="3" fillId="0" borderId="0" xfId="76" applyNumberFormat="1" applyFont="1" applyFill="1" applyAlignment="1" applyProtection="1">
      <alignment vertical="center"/>
    </xf>
    <xf numFmtId="4" fontId="3" fillId="28" borderId="32" xfId="76" applyNumberFormat="1" applyFont="1" applyFill="1" applyBorder="1" applyAlignment="1" applyProtection="1">
      <alignment vertical="center"/>
    </xf>
    <xf numFmtId="4" fontId="5" fillId="29" borderId="32" xfId="76" applyNumberFormat="1" applyFont="1" applyFill="1" applyBorder="1" applyAlignment="1" applyProtection="1">
      <alignment vertical="center"/>
    </xf>
    <xf numFmtId="168" fontId="3" fillId="28" borderId="39" xfId="76" applyFont="1" applyFill="1" applyBorder="1" applyAlignment="1" applyProtection="1">
      <alignment horizontal="center" vertical="center"/>
      <protection hidden="1"/>
    </xf>
    <xf numFmtId="168" fontId="76" fillId="0" borderId="0" xfId="76" applyFont="1" applyFill="1" applyAlignment="1" applyProtection="1">
      <alignment vertical="center"/>
    </xf>
    <xf numFmtId="168" fontId="5" fillId="0" borderId="4" xfId="76" applyFont="1" applyFill="1" applyBorder="1" applyAlignment="1" applyProtection="1">
      <alignment vertical="center"/>
    </xf>
    <xf numFmtId="168" fontId="5" fillId="0" borderId="18" xfId="76" applyFont="1" applyFill="1" applyBorder="1" applyAlignment="1" applyProtection="1">
      <alignment vertical="center"/>
    </xf>
    <xf numFmtId="179" fontId="3" fillId="28" borderId="45" xfId="76" applyNumberFormat="1" applyFont="1" applyFill="1" applyBorder="1" applyAlignment="1" applyProtection="1">
      <alignment vertical="center"/>
      <protection hidden="1"/>
    </xf>
    <xf numFmtId="165" fontId="3" fillId="0" borderId="19" xfId="76" applyNumberFormat="1" applyFont="1" applyFill="1" applyBorder="1" applyAlignment="1" applyProtection="1">
      <alignment vertical="center"/>
      <protection hidden="1"/>
    </xf>
    <xf numFmtId="179" fontId="3" fillId="28" borderId="54" xfId="76" applyNumberFormat="1" applyFont="1" applyFill="1" applyBorder="1" applyAlignment="1" applyProtection="1">
      <alignment vertical="center"/>
      <protection hidden="1"/>
    </xf>
    <xf numFmtId="168" fontId="57" fillId="0" borderId="0" xfId="76" applyFont="1" applyFill="1"/>
    <xf numFmtId="165" fontId="81" fillId="28" borderId="39" xfId="76" applyNumberFormat="1" applyFont="1" applyFill="1" applyBorder="1" applyAlignment="1" applyProtection="1">
      <alignment horizontal="right" vertical="center"/>
      <protection hidden="1"/>
    </xf>
    <xf numFmtId="168" fontId="5" fillId="0" borderId="0" xfId="76" applyFont="1" applyFill="1" applyAlignment="1">
      <alignment horizontal="right" vertical="center"/>
    </xf>
    <xf numFmtId="168" fontId="5" fillId="0" borderId="0" xfId="76" applyFont="1" applyFill="1" applyAlignment="1" applyProtection="1">
      <alignment horizontal="right" vertical="center"/>
      <protection hidden="1"/>
    </xf>
    <xf numFmtId="168" fontId="52" fillId="0" borderId="34" xfId="76" applyFont="1" applyFill="1" applyBorder="1" applyAlignment="1" applyProtection="1">
      <alignment horizontal="center" vertical="center"/>
      <protection locked="0"/>
    </xf>
    <xf numFmtId="4" fontId="5" fillId="28" borderId="15" xfId="76" applyNumberFormat="1" applyFont="1" applyFill="1" applyBorder="1" applyAlignment="1" applyProtection="1">
      <alignment vertical="center"/>
      <protection locked="0"/>
    </xf>
    <xf numFmtId="4" fontId="5" fillId="28" borderId="0" xfId="76" applyNumberFormat="1" applyFont="1" applyFill="1" applyBorder="1" applyAlignment="1" applyProtection="1">
      <alignment vertical="center"/>
      <protection locked="0"/>
    </xf>
    <xf numFmtId="4" fontId="3" fillId="0" borderId="0" xfId="76" applyNumberFormat="1" applyFont="1" applyFill="1" applyAlignment="1" applyProtection="1">
      <alignment vertical="center"/>
    </xf>
    <xf numFmtId="4" fontId="5" fillId="0" borderId="30" xfId="76" applyNumberFormat="1" applyFont="1" applyFill="1" applyBorder="1" applyAlignment="1" applyProtection="1">
      <alignment horizontal="center" vertical="center"/>
    </xf>
    <xf numFmtId="4" fontId="54" fillId="0" borderId="44" xfId="76" applyNumberFormat="1" applyFont="1" applyFill="1" applyBorder="1" applyAlignment="1" applyProtection="1">
      <alignment horizontal="center" vertical="center"/>
    </xf>
    <xf numFmtId="4" fontId="5" fillId="0" borderId="24" xfId="76" applyNumberFormat="1" applyFont="1" applyFill="1" applyBorder="1" applyAlignment="1" applyProtection="1">
      <alignment vertical="center"/>
    </xf>
    <xf numFmtId="168" fontId="3" fillId="0" borderId="30" xfId="76" applyFont="1" applyFill="1" applyBorder="1" applyAlignment="1" applyProtection="1">
      <alignment vertical="center"/>
    </xf>
    <xf numFmtId="4" fontId="3" fillId="0" borderId="41" xfId="76" applyNumberFormat="1" applyFont="1" applyFill="1" applyBorder="1" applyAlignment="1" applyProtection="1">
      <alignment horizontal="center" vertical="center"/>
    </xf>
    <xf numFmtId="4" fontId="3" fillId="0" borderId="44" xfId="76" applyNumberFormat="1" applyFont="1" applyFill="1" applyBorder="1" applyAlignment="1" applyProtection="1">
      <alignment horizontal="center" vertical="center"/>
    </xf>
    <xf numFmtId="168" fontId="54" fillId="0" borderId="30" xfId="76" applyFont="1" applyFill="1" applyBorder="1" applyAlignment="1" applyProtection="1">
      <alignment vertical="center"/>
    </xf>
    <xf numFmtId="168" fontId="54" fillId="0" borderId="31" xfId="76" applyFont="1" applyFill="1" applyBorder="1" applyAlignment="1" applyProtection="1">
      <alignment vertical="center"/>
    </xf>
    <xf numFmtId="4" fontId="5" fillId="29" borderId="6" xfId="76" applyNumberFormat="1" applyFont="1" applyFill="1" applyBorder="1" applyAlignment="1" applyProtection="1">
      <alignment vertical="center"/>
      <protection locked="0"/>
    </xf>
    <xf numFmtId="4" fontId="5" fillId="28" borderId="34" xfId="76" applyNumberFormat="1" applyFont="1" applyFill="1" applyBorder="1" applyAlignment="1" applyProtection="1">
      <alignment vertical="center"/>
      <protection locked="0"/>
    </xf>
    <xf numFmtId="4" fontId="5" fillId="28" borderId="22" xfId="76" applyNumberFormat="1" applyFont="1" applyFill="1" applyBorder="1" applyAlignment="1" applyProtection="1">
      <alignment vertical="center"/>
      <protection locked="0"/>
    </xf>
    <xf numFmtId="4" fontId="5" fillId="0" borderId="43" xfId="76" applyNumberFormat="1" applyFont="1" applyFill="1" applyBorder="1" applyAlignment="1" applyProtection="1">
      <alignment vertical="center"/>
    </xf>
    <xf numFmtId="4" fontId="5" fillId="28" borderId="0" xfId="76" applyNumberFormat="1" applyFont="1" applyFill="1" applyAlignment="1" applyProtection="1">
      <alignment vertical="center"/>
      <protection locked="0"/>
    </xf>
    <xf numFmtId="168" fontId="3" fillId="28" borderId="55" xfId="76" applyFont="1" applyFill="1" applyBorder="1" applyAlignment="1" applyProtection="1">
      <alignment horizontal="center" vertical="center"/>
    </xf>
    <xf numFmtId="4" fontId="54" fillId="28" borderId="0" xfId="76" applyNumberFormat="1" applyFont="1" applyFill="1" applyAlignment="1" applyProtection="1">
      <alignment horizontal="center" vertical="center"/>
      <protection locked="0"/>
    </xf>
    <xf numFmtId="4" fontId="3" fillId="28" borderId="32" xfId="76" applyNumberFormat="1" applyFont="1" applyFill="1" applyBorder="1" applyAlignment="1" applyProtection="1">
      <alignment vertical="center"/>
      <protection locked="0"/>
    </xf>
    <xf numFmtId="4" fontId="3" fillId="31" borderId="39" xfId="76" applyNumberFormat="1" applyFont="1" applyFill="1" applyBorder="1" applyAlignment="1" applyProtection="1">
      <alignment vertical="center"/>
      <protection hidden="1"/>
    </xf>
    <xf numFmtId="168" fontId="20" fillId="28" borderId="0" xfId="76" applyFont="1" applyFill="1" applyAlignment="1" applyProtection="1">
      <alignment vertical="center"/>
    </xf>
    <xf numFmtId="168" fontId="3" fillId="0" borderId="43" xfId="76" applyFont="1" applyFill="1" applyBorder="1" applyAlignment="1" applyProtection="1">
      <alignment vertical="center"/>
    </xf>
    <xf numFmtId="3" fontId="5" fillId="0" borderId="0" xfId="76" applyNumberFormat="1" applyFont="1" applyFill="1" applyAlignment="1" applyProtection="1">
      <alignment horizontal="right" vertical="center"/>
    </xf>
    <xf numFmtId="3" fontId="5" fillId="0" borderId="0" xfId="76" applyNumberFormat="1" applyFont="1" applyFill="1" applyBorder="1" applyAlignment="1" applyProtection="1">
      <alignment horizontal="right" vertical="center"/>
    </xf>
    <xf numFmtId="168" fontId="3" fillId="0" borderId="0" xfId="76" applyFont="1" applyFill="1" applyBorder="1" applyAlignment="1" applyProtection="1">
      <alignment vertical="center"/>
      <protection locked="0"/>
    </xf>
    <xf numFmtId="40" fontId="5" fillId="0" borderId="0" xfId="76" applyNumberFormat="1" applyFont="1" applyFill="1" applyAlignment="1" applyProtection="1">
      <alignment horizontal="right" vertical="center"/>
    </xf>
    <xf numFmtId="168" fontId="5" fillId="0" borderId="0" xfId="76" applyFont="1" applyFill="1" applyAlignment="1" applyProtection="1">
      <alignment vertical="center"/>
      <protection locked="0"/>
    </xf>
    <xf numFmtId="168" fontId="78" fillId="0" borderId="20" xfId="76" applyFont="1" applyFill="1" applyBorder="1" applyAlignment="1" applyProtection="1">
      <alignment vertical="center"/>
    </xf>
    <xf numFmtId="168" fontId="5" fillId="0" borderId="13" xfId="76" applyFont="1" applyFill="1" applyBorder="1" applyAlignment="1" applyProtection="1">
      <alignment vertical="center"/>
    </xf>
    <xf numFmtId="168" fontId="58" fillId="0" borderId="0" xfId="76" applyFont="1" applyFill="1" applyBorder="1" applyAlignment="1" applyProtection="1">
      <alignment vertical="center"/>
      <protection locked="0"/>
    </xf>
    <xf numFmtId="168" fontId="58" fillId="0" borderId="4" xfId="76" applyFont="1" applyFill="1" applyBorder="1" applyAlignment="1" applyProtection="1">
      <alignment vertical="center"/>
    </xf>
    <xf numFmtId="168" fontId="58" fillId="0" borderId="0" xfId="76" applyFont="1" applyFill="1" applyBorder="1" applyAlignment="1" applyProtection="1">
      <alignment horizontal="right" vertical="center"/>
    </xf>
    <xf numFmtId="168" fontId="11" fillId="0" borderId="0" xfId="76" applyFont="1" applyFill="1" applyAlignment="1" applyProtection="1">
      <alignment vertical="center"/>
    </xf>
    <xf numFmtId="168" fontId="11" fillId="0" borderId="0" xfId="76" applyFont="1" applyFill="1" applyProtection="1"/>
    <xf numFmtId="168" fontId="11" fillId="0" borderId="0" xfId="76" applyFont="1" applyFill="1"/>
    <xf numFmtId="168" fontId="3" fillId="0" borderId="4" xfId="76" applyFont="1" applyFill="1" applyBorder="1" applyAlignment="1" applyProtection="1">
      <alignment vertical="center"/>
    </xf>
    <xf numFmtId="168" fontId="20" fillId="0" borderId="0" xfId="76" applyFont="1" applyFill="1" applyAlignment="1" applyProtection="1">
      <alignment vertical="center"/>
      <protection locked="0"/>
    </xf>
    <xf numFmtId="168" fontId="20" fillId="0" borderId="0" xfId="76" applyFont="1" applyFill="1" applyAlignment="1" applyProtection="1">
      <alignment horizontal="right" vertical="center"/>
    </xf>
    <xf numFmtId="168" fontId="20" fillId="0" borderId="0" xfId="76" applyFont="1" applyFill="1" applyAlignment="1" applyProtection="1">
      <alignment horizontal="center"/>
    </xf>
    <xf numFmtId="168" fontId="3" fillId="0" borderId="0" xfId="76" applyFont="1" applyFill="1" applyAlignment="1" applyProtection="1">
      <alignment horizontal="center" vertical="center"/>
    </xf>
    <xf numFmtId="168" fontId="20" fillId="0" borderId="0" xfId="76" applyFont="1" applyFill="1" applyAlignment="1" applyProtection="1">
      <alignment horizontal="center" vertical="center"/>
    </xf>
    <xf numFmtId="168" fontId="5" fillId="0" borderId="4" xfId="76" applyFont="1" applyFill="1" applyBorder="1" applyAlignment="1" applyProtection="1">
      <alignment horizontal="center" vertical="center"/>
    </xf>
    <xf numFmtId="168" fontId="5" fillId="0" borderId="18" xfId="76" applyFont="1" applyFill="1" applyBorder="1" applyAlignment="1" applyProtection="1">
      <alignment horizontal="center" vertical="center"/>
    </xf>
    <xf numFmtId="168" fontId="58" fillId="0" borderId="4" xfId="76" applyFont="1" applyFill="1" applyBorder="1" applyAlignment="1" applyProtection="1">
      <alignment horizontal="center" vertical="center"/>
    </xf>
    <xf numFmtId="168" fontId="3" fillId="0" borderId="0" xfId="76" applyFont="1" applyAlignment="1" applyProtection="1">
      <alignment horizontal="center"/>
    </xf>
    <xf numFmtId="168" fontId="52" fillId="0" borderId="34" xfId="76" applyFont="1" applyFill="1" applyBorder="1" applyAlignment="1" applyProtection="1">
      <alignment horizontal="center" vertical="center"/>
    </xf>
    <xf numFmtId="4" fontId="3" fillId="0" borderId="0" xfId="76" applyNumberFormat="1" applyFont="1" applyFill="1" applyAlignment="1" applyProtection="1">
      <alignment vertical="center"/>
      <protection locked="0"/>
    </xf>
    <xf numFmtId="4" fontId="54" fillId="0" borderId="0" xfId="76" applyNumberFormat="1" applyFont="1" applyFill="1" applyAlignment="1" applyProtection="1">
      <alignment horizontal="center" vertical="center"/>
      <protection locked="0"/>
    </xf>
    <xf numFmtId="171" fontId="5" fillId="0" borderId="0" xfId="76" applyNumberFormat="1" applyFont="1" applyFill="1" applyAlignment="1" applyProtection="1">
      <alignment horizontal="right" vertical="center"/>
    </xf>
    <xf numFmtId="4" fontId="3" fillId="0" borderId="43" xfId="76" applyNumberFormat="1" applyFont="1" applyFill="1" applyBorder="1" applyAlignment="1" applyProtection="1">
      <alignment vertical="center"/>
    </xf>
    <xf numFmtId="168" fontId="56" fillId="0" borderId="0" xfId="76" applyFont="1" applyFill="1" applyBorder="1" applyAlignment="1" applyProtection="1">
      <alignment horizontal="right" vertical="center"/>
    </xf>
    <xf numFmtId="40" fontId="3" fillId="0" borderId="0" xfId="76" applyNumberFormat="1" applyFont="1" applyFill="1" applyAlignment="1" applyProtection="1">
      <alignment vertical="center"/>
    </xf>
    <xf numFmtId="3" fontId="3" fillId="0" borderId="0" xfId="76" applyNumberFormat="1" applyFont="1" applyFill="1" applyBorder="1" applyAlignment="1" applyProtection="1">
      <alignment vertical="center"/>
    </xf>
    <xf numFmtId="168" fontId="5" fillId="0" borderId="38" xfId="76" applyFont="1" applyFill="1" applyBorder="1" applyAlignment="1" applyProtection="1">
      <alignment vertical="center"/>
    </xf>
    <xf numFmtId="168" fontId="5" fillId="0" borderId="56" xfId="76" applyFont="1" applyFill="1" applyBorder="1" applyAlignment="1" applyProtection="1">
      <alignment vertical="center"/>
    </xf>
    <xf numFmtId="3" fontId="3" fillId="0" borderId="0" xfId="76" applyNumberFormat="1" applyFont="1" applyFill="1" applyAlignment="1" applyProtection="1">
      <alignment vertical="center"/>
    </xf>
    <xf numFmtId="168" fontId="3" fillId="0" borderId="0" xfId="76" applyFont="1" applyFill="1" applyAlignment="1">
      <alignment vertical="center"/>
    </xf>
    <xf numFmtId="168" fontId="18" fillId="0" borderId="0" xfId="76" applyFont="1" applyFill="1" applyBorder="1" applyAlignment="1" applyProtection="1">
      <alignment vertical="center"/>
    </xf>
    <xf numFmtId="168" fontId="57" fillId="0" borderId="0" xfId="76" applyFont="1" applyFill="1" applyAlignment="1" applyProtection="1">
      <alignment vertical="center"/>
    </xf>
    <xf numFmtId="168" fontId="59" fillId="0" borderId="0" xfId="76" applyFont="1" applyFill="1" applyAlignment="1" applyProtection="1">
      <alignment vertical="center"/>
    </xf>
    <xf numFmtId="168" fontId="66" fillId="0" borderId="0" xfId="76" applyFont="1" applyFill="1" applyBorder="1" applyAlignment="1" applyProtection="1">
      <alignment vertical="center"/>
    </xf>
    <xf numFmtId="0" fontId="77" fillId="0" borderId="0" xfId="67" applyFont="1" applyFill="1" applyBorder="1" applyAlignment="1" applyProtection="1">
      <alignment vertical="center" wrapText="1"/>
    </xf>
    <xf numFmtId="0" fontId="3" fillId="0" borderId="14" xfId="67" applyFont="1" applyFill="1" applyBorder="1" applyAlignment="1" applyProtection="1">
      <alignment horizontal="left" vertical="center"/>
    </xf>
    <xf numFmtId="0" fontId="3" fillId="0" borderId="0" xfId="67" applyFont="1" applyFill="1" applyBorder="1" applyAlignment="1" applyProtection="1">
      <alignment horizontal="left" vertical="center"/>
    </xf>
    <xf numFmtId="0" fontId="70" fillId="0" borderId="0" xfId="0" applyFont="1" applyFill="1" applyBorder="1" applyAlignment="1" applyProtection="1">
      <alignment vertical="center"/>
    </xf>
    <xf numFmtId="0" fontId="3" fillId="0" borderId="33" xfId="67" applyFont="1" applyFill="1" applyBorder="1" applyAlignment="1" applyProtection="1">
      <alignment vertical="center"/>
    </xf>
    <xf numFmtId="166" fontId="52" fillId="0" borderId="18" xfId="0" applyNumberFormat="1" applyFont="1" applyFill="1" applyBorder="1" applyAlignment="1" applyProtection="1">
      <alignment vertical="center"/>
    </xf>
    <xf numFmtId="0" fontId="0" fillId="0" borderId="18" xfId="0" applyFill="1" applyBorder="1" applyAlignment="1" applyProtection="1">
      <alignment vertical="center"/>
    </xf>
    <xf numFmtId="166" fontId="3" fillId="0" borderId="18" xfId="0" applyNumberFormat="1" applyFont="1" applyFill="1" applyBorder="1" applyAlignment="1" applyProtection="1">
      <alignment vertical="center"/>
    </xf>
    <xf numFmtId="0" fontId="40" fillId="0" borderId="4" xfId="0" quotePrefix="1" applyFont="1" applyFill="1" applyBorder="1" applyAlignment="1" applyProtection="1">
      <alignment horizontal="center" vertical="center"/>
    </xf>
    <xf numFmtId="167" fontId="7" fillId="0" borderId="37" xfId="0" applyNumberFormat="1" applyFont="1" applyFill="1" applyBorder="1" applyAlignment="1" applyProtection="1">
      <alignment vertical="center"/>
    </xf>
    <xf numFmtId="0" fontId="0" fillId="0" borderId="0" xfId="0" applyProtection="1"/>
    <xf numFmtId="0" fontId="64" fillId="0" borderId="0" xfId="58" applyFont="1" applyFill="1" applyBorder="1" applyAlignment="1" applyProtection="1">
      <alignment vertical="center" wrapText="1"/>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35" xfId="0" applyBorder="1" applyProtection="1"/>
    <xf numFmtId="0" fontId="0" fillId="0" borderId="57" xfId="0" applyBorder="1" applyProtection="1"/>
    <xf numFmtId="0" fontId="0" fillId="0" borderId="57" xfId="0" applyBorder="1" applyAlignment="1" applyProtection="1">
      <alignment horizontal="center" vertical="center"/>
    </xf>
    <xf numFmtId="0" fontId="0" fillId="0" borderId="35" xfId="0" applyBorder="1" applyAlignment="1" applyProtection="1">
      <alignment horizontal="center" vertical="center"/>
    </xf>
    <xf numFmtId="0" fontId="0" fillId="0" borderId="0" xfId="0" applyBorder="1" applyProtection="1"/>
    <xf numFmtId="0" fontId="0" fillId="32" borderId="14" xfId="0" applyFill="1" applyBorder="1" applyAlignment="1" applyProtection="1">
      <alignment vertical="center"/>
    </xf>
    <xf numFmtId="0" fontId="0" fillId="32" borderId="0" xfId="0" applyFill="1" applyBorder="1" applyAlignment="1" applyProtection="1">
      <alignment vertical="center"/>
    </xf>
    <xf numFmtId="0" fontId="0" fillId="32" borderId="13" xfId="0" applyFill="1" applyBorder="1" applyAlignment="1" applyProtection="1">
      <alignment vertical="center"/>
    </xf>
    <xf numFmtId="0" fontId="0" fillId="32" borderId="14" xfId="0" applyFill="1" applyBorder="1" applyProtection="1"/>
    <xf numFmtId="0" fontId="0" fillId="32" borderId="13" xfId="0" applyFill="1" applyBorder="1" applyProtection="1"/>
    <xf numFmtId="0" fontId="0" fillId="32" borderId="0" xfId="0" applyFill="1" applyBorder="1" applyProtection="1"/>
    <xf numFmtId="0" fontId="0" fillId="0" borderId="21" xfId="0" applyBorder="1" applyProtection="1"/>
    <xf numFmtId="179" fontId="7" fillId="33" borderId="6" xfId="71" applyNumberFormat="1" applyFont="1" applyFill="1" applyBorder="1" applyAlignment="1" applyProtection="1">
      <alignment vertical="center"/>
      <protection locked="0"/>
    </xf>
    <xf numFmtId="179" fontId="3" fillId="33" borderId="6" xfId="71" applyNumberFormat="1" applyFont="1" applyFill="1" applyBorder="1" applyAlignment="1" applyProtection="1">
      <alignment horizontal="center" vertical="center"/>
      <protection locked="0"/>
    </xf>
    <xf numFmtId="169" fontId="7" fillId="33" borderId="6" xfId="0" applyNumberFormat="1" applyFont="1" applyFill="1" applyBorder="1" applyAlignment="1" applyProtection="1">
      <alignment horizontal="right"/>
      <protection locked="0"/>
    </xf>
    <xf numFmtId="179" fontId="7" fillId="33" borderId="6" xfId="71" applyNumberFormat="1" applyFont="1" applyFill="1" applyBorder="1" applyAlignment="1" applyProtection="1">
      <alignment horizontal="center" vertical="center"/>
      <protection locked="0"/>
    </xf>
    <xf numFmtId="178" fontId="7" fillId="33" borderId="6" xfId="71" applyNumberFormat="1" applyFont="1" applyFill="1" applyBorder="1" applyAlignment="1" applyProtection="1">
      <alignment vertical="center"/>
      <protection locked="0"/>
    </xf>
    <xf numFmtId="178" fontId="73" fillId="33" borderId="6" xfId="69" applyNumberFormat="1" applyFont="1" applyFill="1" applyBorder="1" applyAlignment="1" applyProtection="1">
      <alignment vertical="center"/>
      <protection locked="0"/>
    </xf>
    <xf numFmtId="0" fontId="3" fillId="33" borderId="6" xfId="0" applyFont="1" applyFill="1" applyBorder="1" applyAlignment="1" applyProtection="1">
      <alignment horizontal="center" vertical="center"/>
      <protection locked="0"/>
    </xf>
    <xf numFmtId="179" fontId="3" fillId="33" borderId="6" xfId="71" applyNumberFormat="1" applyFont="1" applyFill="1" applyBorder="1" applyAlignment="1" applyProtection="1">
      <alignment vertical="center"/>
      <protection locked="0"/>
    </xf>
    <xf numFmtId="178" fontId="3" fillId="33" borderId="6" xfId="71" applyNumberFormat="1" applyFont="1" applyFill="1" applyBorder="1" applyAlignment="1" applyProtection="1">
      <alignment vertical="center"/>
      <protection locked="0"/>
    </xf>
    <xf numFmtId="179" fontId="3" fillId="33" borderId="32" xfId="71" applyNumberFormat="1" applyFont="1" applyFill="1" applyBorder="1" applyAlignment="1" applyProtection="1">
      <alignment vertical="center"/>
      <protection locked="0"/>
    </xf>
    <xf numFmtId="179" fontId="7" fillId="33" borderId="32" xfId="71" applyNumberFormat="1" applyFont="1" applyFill="1" applyBorder="1" applyAlignment="1" applyProtection="1">
      <alignment vertical="center"/>
      <protection locked="0"/>
    </xf>
    <xf numFmtId="1" fontId="3" fillId="33" borderId="6" xfId="76" applyNumberFormat="1" applyFont="1" applyFill="1" applyBorder="1" applyAlignment="1" applyProtection="1">
      <alignment vertical="center"/>
      <protection locked="0"/>
    </xf>
    <xf numFmtId="1" fontId="3" fillId="33" borderId="43" xfId="76" applyNumberFormat="1" applyFont="1" applyFill="1" applyBorder="1" applyAlignment="1" applyProtection="1">
      <alignment vertical="center"/>
      <protection locked="0"/>
    </xf>
    <xf numFmtId="2" fontId="3" fillId="33" borderId="27" xfId="76" applyNumberFormat="1" applyFont="1" applyFill="1" applyBorder="1" applyAlignment="1" applyProtection="1">
      <alignment vertical="center"/>
      <protection locked="0"/>
    </xf>
    <xf numFmtId="2" fontId="3" fillId="33" borderId="35" xfId="76" applyNumberFormat="1" applyFont="1" applyFill="1" applyBorder="1" applyAlignment="1" applyProtection="1">
      <alignment vertical="center"/>
      <protection locked="0"/>
    </xf>
    <xf numFmtId="2" fontId="3" fillId="33" borderId="6" xfId="76" applyNumberFormat="1" applyFont="1" applyFill="1" applyBorder="1" applyAlignment="1" applyProtection="1">
      <alignment vertical="center"/>
      <protection locked="0"/>
    </xf>
    <xf numFmtId="2" fontId="3" fillId="33" borderId="58" xfId="76" applyNumberFormat="1" applyFont="1" applyFill="1" applyBorder="1" applyAlignment="1" applyProtection="1">
      <alignment vertical="center"/>
      <protection locked="0"/>
    </xf>
    <xf numFmtId="168" fontId="56" fillId="33" borderId="59" xfId="76" applyFont="1" applyFill="1" applyBorder="1" applyAlignment="1" applyProtection="1">
      <alignment horizontal="center" vertical="center"/>
      <protection locked="0"/>
    </xf>
    <xf numFmtId="168" fontId="56" fillId="33" borderId="55" xfId="76" applyFont="1" applyFill="1" applyBorder="1" applyAlignment="1" applyProtection="1">
      <alignment horizontal="center" vertical="center"/>
      <protection locked="0"/>
    </xf>
    <xf numFmtId="179" fontId="3" fillId="33" borderId="45" xfId="71" applyNumberFormat="1" applyFont="1" applyFill="1" applyBorder="1" applyAlignment="1" applyProtection="1">
      <alignment vertical="center"/>
      <protection locked="0"/>
    </xf>
    <xf numFmtId="169" fontId="3" fillId="33" borderId="47" xfId="76" applyNumberFormat="1" applyFont="1" applyFill="1" applyBorder="1" applyAlignment="1" applyProtection="1">
      <alignment vertical="center"/>
      <protection locked="0" hidden="1"/>
    </xf>
    <xf numFmtId="169" fontId="3" fillId="33" borderId="39" xfId="79" applyNumberFormat="1" applyFont="1" applyFill="1" applyBorder="1" applyAlignment="1" applyProtection="1">
      <alignment horizontal="right" vertical="center"/>
      <protection locked="0" hidden="1"/>
    </xf>
    <xf numFmtId="169" fontId="3" fillId="33" borderId="47" xfId="76" applyNumberFormat="1" applyFont="1" applyFill="1" applyBorder="1" applyAlignment="1" applyProtection="1">
      <alignment vertical="center"/>
      <protection locked="0"/>
    </xf>
    <xf numFmtId="169" fontId="3" fillId="33" borderId="39" xfId="79" applyNumberFormat="1" applyFont="1" applyFill="1" applyBorder="1" applyAlignment="1" applyProtection="1">
      <alignment horizontal="right" vertical="center"/>
      <protection locked="0"/>
    </xf>
    <xf numFmtId="2" fontId="5" fillId="33" borderId="45" xfId="76" applyNumberFormat="1" applyFont="1" applyFill="1" applyBorder="1" applyAlignment="1" applyProtection="1">
      <alignment vertical="center"/>
      <protection locked="0"/>
    </xf>
    <xf numFmtId="2" fontId="3" fillId="33" borderId="45" xfId="76" applyNumberFormat="1" applyFont="1" applyFill="1" applyBorder="1" applyAlignment="1" applyProtection="1">
      <alignment vertical="center"/>
      <protection locked="0"/>
    </xf>
    <xf numFmtId="177" fontId="7" fillId="33" borderId="32" xfId="69" applyNumberFormat="1" applyFont="1" applyFill="1" applyBorder="1" applyProtection="1">
      <alignment horizontal="right"/>
      <protection locked="0"/>
    </xf>
    <xf numFmtId="177" fontId="7" fillId="33" borderId="43" xfId="69" applyNumberFormat="1" applyFont="1" applyFill="1" applyBorder="1" applyProtection="1">
      <alignment horizontal="right"/>
      <protection locked="0"/>
    </xf>
    <xf numFmtId="169" fontId="0" fillId="33" borderId="35" xfId="0" applyNumberFormat="1" applyFill="1" applyBorder="1" applyProtection="1">
      <protection locked="0"/>
    </xf>
    <xf numFmtId="169" fontId="0" fillId="33" borderId="21" xfId="0" applyNumberFormat="1" applyFill="1" applyBorder="1" applyProtection="1">
      <protection locked="0"/>
    </xf>
    <xf numFmtId="169" fontId="0" fillId="33" borderId="20" xfId="0" applyNumberFormat="1" applyFill="1" applyBorder="1" applyProtection="1">
      <protection locked="0"/>
    </xf>
    <xf numFmtId="169" fontId="0" fillId="33" borderId="22" xfId="0" applyNumberFormat="1" applyFill="1" applyBorder="1" applyProtection="1">
      <protection locked="0"/>
    </xf>
    <xf numFmtId="169" fontId="0" fillId="33" borderId="36" xfId="0" applyNumberFormat="1" applyFill="1" applyBorder="1" applyProtection="1">
      <protection locked="0"/>
    </xf>
    <xf numFmtId="169" fontId="0" fillId="33" borderId="37" xfId="0" applyNumberFormat="1" applyFill="1" applyBorder="1" applyProtection="1">
      <protection locked="0"/>
    </xf>
    <xf numFmtId="3" fontId="3" fillId="33" borderId="34" xfId="0" applyNumberFormat="1" applyFont="1" applyFill="1" applyBorder="1" applyAlignment="1" applyProtection="1">
      <alignment horizontal="center"/>
      <protection locked="0"/>
    </xf>
    <xf numFmtId="3" fontId="3" fillId="33" borderId="25" xfId="0" applyNumberFormat="1" applyFont="1" applyFill="1" applyBorder="1" applyAlignment="1" applyProtection="1">
      <alignment horizontal="center"/>
      <protection locked="0"/>
    </xf>
    <xf numFmtId="169" fontId="0" fillId="33" borderId="34" xfId="0" applyNumberFormat="1" applyFill="1" applyBorder="1" applyAlignment="1" applyProtection="1">
      <alignment horizontal="center"/>
      <protection locked="0"/>
    </xf>
    <xf numFmtId="169" fontId="0" fillId="33" borderId="25" xfId="0" applyNumberFormat="1" applyFill="1" applyBorder="1" applyAlignment="1" applyProtection="1">
      <alignment horizontal="center"/>
      <protection locked="0"/>
    </xf>
    <xf numFmtId="9" fontId="0" fillId="33" borderId="6" xfId="0" applyNumberFormat="1" applyFill="1" applyBorder="1" applyAlignment="1" applyProtection="1">
      <alignment horizontal="center"/>
      <protection locked="0"/>
    </xf>
    <xf numFmtId="0" fontId="65" fillId="0" borderId="13" xfId="68" applyFont="1" applyFill="1" applyBorder="1" applyAlignment="1" applyProtection="1">
      <alignment horizontal="left" vertical="center"/>
    </xf>
    <xf numFmtId="183" fontId="5" fillId="28" borderId="39" xfId="79" applyNumberFormat="1" applyFont="1" applyFill="1" applyBorder="1" applyAlignment="1" applyProtection="1">
      <alignment horizontal="right" vertical="center"/>
      <protection hidden="1"/>
    </xf>
    <xf numFmtId="166" fontId="52" fillId="30" borderId="35" xfId="0" applyNumberFormat="1" applyFont="1" applyFill="1" applyBorder="1" applyAlignment="1" applyProtection="1">
      <alignment vertical="center"/>
    </xf>
    <xf numFmtId="0" fontId="0" fillId="0" borderId="0" xfId="0" applyAlignment="1" applyProtection="1"/>
    <xf numFmtId="0" fontId="0" fillId="0" borderId="0" xfId="0" quotePrefix="1"/>
    <xf numFmtId="0" fontId="0" fillId="0" borderId="60" xfId="0" applyBorder="1" applyProtection="1"/>
    <xf numFmtId="0" fontId="0" fillId="0" borderId="4" xfId="0" applyBorder="1" applyAlignment="1" applyProtection="1">
      <alignment horizontal="center" vertical="center"/>
    </xf>
    <xf numFmtId="0" fontId="0" fillId="0" borderId="61" xfId="0" applyBorder="1" applyProtection="1"/>
    <xf numFmtId="0" fontId="0" fillId="0" borderId="14" xfId="0" applyBorder="1" applyAlignment="1" applyProtection="1">
      <alignment vertical="center" wrapText="1"/>
    </xf>
    <xf numFmtId="168" fontId="61" fillId="0" borderId="13" xfId="76" applyFont="1" applyFill="1" applyBorder="1" applyAlignment="1" applyProtection="1">
      <alignment vertical="center"/>
    </xf>
    <xf numFmtId="168" fontId="60" fillId="0" borderId="36" xfId="76" applyFont="1" applyFill="1" applyBorder="1" applyAlignment="1" applyProtection="1">
      <alignment vertical="center"/>
    </xf>
    <xf numFmtId="0" fontId="0" fillId="0" borderId="62" xfId="0" applyBorder="1"/>
    <xf numFmtId="0" fontId="0" fillId="0" borderId="13" xfId="0" applyBorder="1"/>
    <xf numFmtId="0" fontId="0" fillId="0" borderId="15" xfId="0" applyBorder="1"/>
    <xf numFmtId="169" fontId="0" fillId="33" borderId="57" xfId="0" applyNumberFormat="1" applyFill="1" applyBorder="1" applyProtection="1">
      <protection locked="0"/>
    </xf>
    <xf numFmtId="169" fontId="0" fillId="33" borderId="0" xfId="0" applyNumberFormat="1" applyFill="1" applyBorder="1" applyProtection="1">
      <protection locked="0"/>
    </xf>
    <xf numFmtId="169" fontId="0" fillId="33" borderId="4" xfId="0" applyNumberFormat="1" applyFill="1" applyBorder="1" applyProtection="1">
      <protection locked="0"/>
    </xf>
    <xf numFmtId="0" fontId="0" fillId="0" borderId="63" xfId="0" applyBorder="1" applyProtection="1"/>
    <xf numFmtId="0" fontId="40" fillId="0" borderId="14" xfId="0" applyFont="1" applyFill="1" applyBorder="1" applyAlignment="1" applyProtection="1">
      <alignment horizontal="right" vertical="center"/>
    </xf>
    <xf numFmtId="4" fontId="68" fillId="0" borderId="0" xfId="0" applyNumberFormat="1" applyFont="1" applyFill="1" applyBorder="1" applyAlignment="1" applyProtection="1">
      <alignment horizontal="left"/>
    </xf>
    <xf numFmtId="0" fontId="5" fillId="0" borderId="6" xfId="66" applyFont="1" applyFill="1" applyBorder="1" applyProtection="1">
      <alignment horizontal="center" vertical="center" wrapText="1"/>
    </xf>
    <xf numFmtId="0" fontId="5" fillId="0" borderId="6" xfId="66" applyFont="1" applyFill="1" applyBorder="1" applyAlignment="1" applyProtection="1">
      <alignment horizontal="center" vertical="center" wrapText="1"/>
    </xf>
    <xf numFmtId="1" fontId="3" fillId="0" borderId="24" xfId="0" applyNumberFormat="1" applyFont="1" applyFill="1" applyBorder="1" applyAlignment="1" applyProtection="1">
      <alignment horizontal="center"/>
    </xf>
    <xf numFmtId="0" fontId="3" fillId="0" borderId="24" xfId="0" applyFont="1" applyFill="1" applyBorder="1" applyAlignment="1" applyProtection="1">
      <alignment horizontal="center"/>
    </xf>
    <xf numFmtId="174" fontId="3" fillId="0" borderId="21" xfId="79" applyFont="1" applyFill="1" applyBorder="1" applyAlignment="1" applyProtection="1">
      <alignment horizontal="center"/>
    </xf>
    <xf numFmtId="0" fontId="3" fillId="0" borderId="20" xfId="0" applyFont="1" applyFill="1" applyBorder="1" applyAlignment="1" applyProtection="1">
      <alignment horizontal="center"/>
    </xf>
    <xf numFmtId="0" fontId="3" fillId="0" borderId="34" xfId="0" applyFont="1" applyFill="1" applyBorder="1" applyAlignment="1" applyProtection="1">
      <alignment horizontal="center"/>
    </xf>
    <xf numFmtId="174" fontId="3" fillId="0" borderId="22" xfId="79" applyFont="1" applyFill="1" applyBorder="1" applyAlignment="1" applyProtection="1">
      <alignment horizontal="center"/>
    </xf>
    <xf numFmtId="0" fontId="3" fillId="0" borderId="36" xfId="0" applyFont="1" applyFill="1" applyBorder="1" applyAlignment="1" applyProtection="1">
      <alignment horizontal="center"/>
    </xf>
    <xf numFmtId="0" fontId="3" fillId="0" borderId="25" xfId="0" applyFont="1" applyFill="1" applyBorder="1" applyAlignment="1" applyProtection="1">
      <alignment horizontal="center"/>
    </xf>
    <xf numFmtId="174" fontId="3" fillId="0" borderId="37" xfId="79" applyFont="1" applyFill="1" applyBorder="1" applyAlignment="1" applyProtection="1">
      <alignment horizontal="center"/>
    </xf>
    <xf numFmtId="0" fontId="65" fillId="0" borderId="13" xfId="68" applyFont="1" applyFill="1" applyBorder="1" applyAlignment="1" applyProtection="1">
      <alignment horizontal="left" vertical="center"/>
    </xf>
    <xf numFmtId="179" fontId="3" fillId="28" borderId="58" xfId="76" applyNumberFormat="1" applyFont="1" applyFill="1" applyBorder="1" applyAlignment="1" applyProtection="1">
      <alignment vertical="center"/>
      <protection hidden="1"/>
    </xf>
    <xf numFmtId="0" fontId="40" fillId="0" borderId="37" xfId="0" applyFont="1" applyFill="1" applyBorder="1" applyAlignment="1" applyProtection="1">
      <alignment horizontal="right" vertical="center"/>
    </xf>
    <xf numFmtId="0" fontId="40" fillId="0" borderId="24" xfId="0" quotePrefix="1" applyFont="1" applyFill="1" applyBorder="1" applyAlignment="1" applyProtection="1">
      <alignment horizontal="center" vertical="center"/>
    </xf>
    <xf numFmtId="0" fontId="40" fillId="0" borderId="34" xfId="0" quotePrefix="1" applyFont="1" applyFill="1" applyBorder="1" applyAlignment="1" applyProtection="1">
      <alignment horizontal="center" vertical="center"/>
    </xf>
    <xf numFmtId="0" fontId="40" fillId="0" borderId="25" xfId="0" applyFont="1" applyFill="1" applyBorder="1" applyAlignment="1" applyProtection="1">
      <alignment horizontal="right" vertical="center"/>
    </xf>
    <xf numFmtId="0" fontId="14" fillId="0" borderId="21" xfId="0" applyFont="1" applyFill="1" applyBorder="1" applyAlignment="1" applyProtection="1">
      <alignment horizontal="right" vertical="center"/>
    </xf>
    <xf numFmtId="167" fontId="7" fillId="0" borderId="22" xfId="0" applyNumberFormat="1" applyFont="1" applyFill="1" applyBorder="1" applyAlignment="1" applyProtection="1">
      <alignment vertical="center"/>
    </xf>
    <xf numFmtId="0" fontId="0" fillId="0" borderId="0" xfId="0" applyFill="1" applyBorder="1" applyAlignment="1" applyProtection="1">
      <alignment vertical="center" wrapText="1"/>
    </xf>
    <xf numFmtId="0" fontId="15" fillId="0" borderId="23" xfId="0" applyFont="1" applyFill="1" applyBorder="1" applyAlignment="1" applyProtection="1">
      <alignment vertical="center" wrapText="1"/>
    </xf>
    <xf numFmtId="0" fontId="0" fillId="0" borderId="0" xfId="0" applyFill="1" applyAlignment="1" applyProtection="1">
      <alignment vertical="center" wrapText="1"/>
    </xf>
    <xf numFmtId="0" fontId="0" fillId="28" borderId="0" xfId="0" applyFill="1" applyAlignment="1" applyProtection="1">
      <alignment vertical="center" wrapText="1"/>
    </xf>
    <xf numFmtId="0" fontId="0" fillId="32" borderId="16" xfId="0" applyFill="1" applyBorder="1" applyProtection="1"/>
    <xf numFmtId="0" fontId="0" fillId="32" borderId="17" xfId="0" applyFill="1" applyBorder="1" applyProtection="1"/>
    <xf numFmtId="0" fontId="0" fillId="32" borderId="15" xfId="0" applyFill="1" applyBorder="1" applyProtection="1"/>
    <xf numFmtId="0" fontId="0" fillId="0" borderId="28" xfId="0" applyBorder="1"/>
    <xf numFmtId="0" fontId="0" fillId="0" borderId="57" xfId="0" applyBorder="1"/>
    <xf numFmtId="0" fontId="3" fillId="0" borderId="0" xfId="58" applyFont="1" applyBorder="1" applyAlignment="1" applyProtection="1">
      <alignment vertical="center" wrapText="1"/>
    </xf>
    <xf numFmtId="169" fontId="0" fillId="33" borderId="21" xfId="0" applyNumberFormat="1" applyFill="1" applyBorder="1" applyProtection="1">
      <protection locked="0"/>
    </xf>
    <xf numFmtId="183" fontId="7" fillId="33" borderId="6" xfId="0" applyNumberFormat="1" applyFont="1" applyFill="1" applyBorder="1" applyAlignment="1" applyProtection="1">
      <alignment horizontal="right"/>
      <protection locked="0"/>
    </xf>
    <xf numFmtId="168" fontId="56" fillId="33" borderId="64" xfId="76" applyFont="1" applyFill="1" applyBorder="1" applyAlignment="1" applyProtection="1">
      <alignment horizontal="center" vertical="center"/>
      <protection locked="0"/>
    </xf>
    <xf numFmtId="0" fontId="5" fillId="0" borderId="0" xfId="0" applyFont="1" applyFill="1" applyBorder="1" applyAlignment="1">
      <alignment horizontal="center"/>
    </xf>
    <xf numFmtId="0" fontId="5" fillId="0" borderId="0" xfId="0" applyFont="1" applyBorder="1" applyAlignment="1">
      <alignment horizontal="center"/>
    </xf>
    <xf numFmtId="0" fontId="5" fillId="0" borderId="16" xfId="0" applyFont="1" applyBorder="1"/>
    <xf numFmtId="0" fontId="0" fillId="0" borderId="14" xfId="0" applyBorder="1"/>
    <xf numFmtId="0" fontId="0" fillId="0" borderId="17" xfId="0" applyBorder="1"/>
    <xf numFmtId="0" fontId="3" fillId="0" borderId="17" xfId="0" applyFont="1" applyBorder="1"/>
    <xf numFmtId="0" fontId="5" fillId="0" borderId="0" xfId="0" applyFont="1" applyBorder="1"/>
    <xf numFmtId="0" fontId="66" fillId="0" borderId="0" xfId="68" applyFont="1" applyFill="1" applyBorder="1" applyAlignment="1" applyProtection="1">
      <alignment horizontal="center" vertical="center"/>
    </xf>
    <xf numFmtId="0" fontId="5" fillId="0" borderId="16" xfId="68" applyFont="1" applyFill="1" applyBorder="1" applyAlignment="1" applyProtection="1">
      <alignment horizontal="left" vertical="center"/>
    </xf>
    <xf numFmtId="0" fontId="0" fillId="0" borderId="26" xfId="0" applyBorder="1"/>
    <xf numFmtId="0" fontId="69" fillId="0" borderId="0" xfId="0" applyFont="1" applyFill="1" applyBorder="1" applyAlignment="1">
      <alignment horizontal="right"/>
    </xf>
    <xf numFmtId="169" fontId="0" fillId="30" borderId="25" xfId="0" applyNumberFormat="1" applyFill="1" applyBorder="1"/>
    <xf numFmtId="183" fontId="3" fillId="0" borderId="17" xfId="0" applyNumberFormat="1" applyFont="1" applyFill="1" applyBorder="1"/>
    <xf numFmtId="183" fontId="3" fillId="30" borderId="6" xfId="0" applyNumberFormat="1" applyFont="1" applyFill="1" applyBorder="1"/>
    <xf numFmtId="169" fontId="0" fillId="30" borderId="24" xfId="0" applyNumberFormat="1" applyFill="1" applyBorder="1"/>
    <xf numFmtId="169" fontId="0" fillId="30" borderId="6" xfId="0" applyNumberFormat="1" applyFill="1" applyBorder="1"/>
    <xf numFmtId="169" fontId="0" fillId="30" borderId="35" xfId="0" applyNumberFormat="1" applyFill="1" applyBorder="1"/>
    <xf numFmtId="169" fontId="0" fillId="30" borderId="27" xfId="0" applyNumberFormat="1" applyFill="1" applyBorder="1"/>
    <xf numFmtId="169" fontId="0" fillId="30" borderId="32" xfId="0" applyNumberFormat="1" applyFill="1" applyBorder="1"/>
    <xf numFmtId="169" fontId="69" fillId="0" borderId="0" xfId="0" applyNumberFormat="1" applyFont="1" applyFill="1" applyBorder="1"/>
    <xf numFmtId="14" fontId="69" fillId="0" borderId="0" xfId="0" applyNumberFormat="1" applyFont="1" applyFill="1" applyBorder="1"/>
    <xf numFmtId="0" fontId="82" fillId="0" borderId="0" xfId="0" applyFont="1" applyFill="1" applyBorder="1" applyAlignment="1">
      <alignment horizontal="right"/>
    </xf>
    <xf numFmtId="169" fontId="3" fillId="30" borderId="6" xfId="0" applyNumberFormat="1" applyFont="1" applyFill="1" applyBorder="1"/>
    <xf numFmtId="14" fontId="0" fillId="33" borderId="24" xfId="0" applyNumberFormat="1" applyFill="1" applyBorder="1" applyProtection="1">
      <protection locked="0"/>
    </xf>
    <xf numFmtId="169" fontId="0" fillId="30" borderId="34" xfId="0" applyNumberFormat="1" applyFill="1" applyBorder="1"/>
    <xf numFmtId="0" fontId="5" fillId="0" borderId="65" xfId="0" applyFont="1" applyBorder="1"/>
    <xf numFmtId="169" fontId="0" fillId="0" borderId="26" xfId="0" applyNumberFormat="1" applyFill="1" applyBorder="1"/>
    <xf numFmtId="14" fontId="0" fillId="0" borderId="26" xfId="0" applyNumberFormat="1" applyFill="1" applyBorder="1"/>
    <xf numFmtId="169" fontId="0" fillId="0" borderId="17" xfId="0" applyNumberFormat="1" applyFill="1" applyBorder="1"/>
    <xf numFmtId="169" fontId="83" fillId="30" borderId="25" xfId="0" applyNumberFormat="1" applyFont="1" applyFill="1" applyBorder="1"/>
    <xf numFmtId="169" fontId="83" fillId="30" borderId="36" xfId="0" applyNumberFormat="1" applyFont="1" applyFill="1" applyBorder="1"/>
    <xf numFmtId="169" fontId="83" fillId="30" borderId="37" xfId="0" applyNumberFormat="1" applyFont="1" applyFill="1" applyBorder="1"/>
    <xf numFmtId="14" fontId="84" fillId="30" borderId="0" xfId="0" applyNumberFormat="1" applyFont="1" applyFill="1" applyBorder="1"/>
    <xf numFmtId="14" fontId="84" fillId="30" borderId="0" xfId="0" applyNumberFormat="1" applyFont="1" applyFill="1" applyBorder="1" applyAlignment="1">
      <alignment horizontal="right"/>
    </xf>
    <xf numFmtId="0" fontId="0" fillId="0" borderId="35" xfId="0" applyBorder="1"/>
    <xf numFmtId="0" fontId="0" fillId="0" borderId="20" xfId="0" applyBorder="1" applyProtection="1"/>
    <xf numFmtId="0" fontId="0" fillId="0" borderId="36" xfId="0" applyBorder="1" applyProtection="1"/>
    <xf numFmtId="0" fontId="0" fillId="0" borderId="37" xfId="0" applyBorder="1" applyProtection="1"/>
    <xf numFmtId="0" fontId="3" fillId="0" borderId="5" xfId="58" applyFont="1" applyBorder="1" applyAlignment="1" applyProtection="1">
      <alignment vertical="center" wrapText="1"/>
    </xf>
    <xf numFmtId="0" fontId="3" fillId="0" borderId="62" xfId="58" applyFont="1" applyBorder="1" applyAlignment="1" applyProtection="1">
      <alignment vertical="center" wrapText="1"/>
    </xf>
    <xf numFmtId="0" fontId="3" fillId="0" borderId="13" xfId="58" applyFont="1" applyBorder="1" applyAlignment="1" applyProtection="1">
      <alignment vertical="center" wrapText="1"/>
    </xf>
    <xf numFmtId="0" fontId="3" fillId="0" borderId="17" xfId="58" applyFont="1" applyBorder="1" applyAlignment="1" applyProtection="1">
      <alignment vertical="center" wrapText="1"/>
    </xf>
    <xf numFmtId="0" fontId="3" fillId="0" borderId="15" xfId="58" applyFont="1" applyBorder="1" applyAlignment="1" applyProtection="1">
      <alignment vertical="center" wrapText="1"/>
    </xf>
    <xf numFmtId="0" fontId="66" fillId="0" borderId="13" xfId="68" applyFont="1" applyFill="1" applyBorder="1" applyAlignment="1" applyProtection="1">
      <alignment horizontal="left" vertical="center"/>
    </xf>
    <xf numFmtId="0" fontId="77" fillId="0" borderId="13" xfId="68" applyFont="1" applyFill="1" applyBorder="1" applyAlignment="1" applyProtection="1">
      <alignment horizontal="left" vertical="center"/>
    </xf>
    <xf numFmtId="0" fontId="0" fillId="0" borderId="79" xfId="0" applyBorder="1" applyProtection="1"/>
    <xf numFmtId="0" fontId="0" fillId="0" borderId="80" xfId="0" applyBorder="1" applyProtection="1"/>
    <xf numFmtId="0" fontId="72" fillId="0" borderId="0" xfId="0" applyFont="1" applyAlignment="1" applyProtection="1">
      <protection hidden="1"/>
    </xf>
    <xf numFmtId="0" fontId="72" fillId="0" borderId="0" xfId="0" applyFont="1" applyProtection="1">
      <protection hidden="1"/>
    </xf>
    <xf numFmtId="0" fontId="72" fillId="0" borderId="0" xfId="0" applyFont="1" applyFill="1" applyBorder="1" applyProtection="1">
      <protection hidden="1"/>
    </xf>
    <xf numFmtId="0" fontId="72" fillId="0" borderId="81" xfId="0" applyFont="1" applyBorder="1" applyProtection="1">
      <protection hidden="1"/>
    </xf>
    <xf numFmtId="0" fontId="3" fillId="0" borderId="57" xfId="58" applyFont="1" applyBorder="1" applyAlignment="1">
      <alignment vertical="center" wrapText="1"/>
    </xf>
    <xf numFmtId="0" fontId="3" fillId="0" borderId="21" xfId="58" applyFont="1" applyBorder="1" applyAlignment="1">
      <alignment vertical="center" wrapText="1"/>
    </xf>
    <xf numFmtId="0" fontId="3" fillId="0" borderId="0" xfId="58" applyFont="1" applyBorder="1" applyAlignment="1">
      <alignment vertical="center" wrapText="1"/>
    </xf>
    <xf numFmtId="0" fontId="3" fillId="0" borderId="22" xfId="58" applyFont="1" applyBorder="1" applyAlignment="1">
      <alignment vertical="center" wrapText="1"/>
    </xf>
    <xf numFmtId="0" fontId="3" fillId="0" borderId="4" xfId="58" applyFont="1" applyBorder="1" applyAlignment="1">
      <alignment vertical="center" wrapText="1"/>
    </xf>
    <xf numFmtId="0" fontId="3" fillId="0" borderId="37" xfId="58" applyFont="1" applyBorder="1" applyAlignment="1">
      <alignment vertical="center" wrapText="1"/>
    </xf>
    <xf numFmtId="0" fontId="3" fillId="0" borderId="57" xfId="58" applyFont="1" applyBorder="1" applyAlignment="1" applyProtection="1">
      <alignment vertical="center" wrapText="1"/>
    </xf>
    <xf numFmtId="0" fontId="3" fillId="0" borderId="21" xfId="58" applyFont="1" applyBorder="1" applyAlignment="1" applyProtection="1">
      <alignment vertical="center" wrapText="1"/>
    </xf>
    <xf numFmtId="0" fontId="3" fillId="0" borderId="22" xfId="58" applyFont="1" applyBorder="1" applyAlignment="1" applyProtection="1">
      <alignment vertical="center" wrapText="1"/>
    </xf>
    <xf numFmtId="0" fontId="3" fillId="0" borderId="4" xfId="58" applyFont="1" applyBorder="1" applyAlignment="1" applyProtection="1">
      <alignment vertical="center" wrapText="1"/>
    </xf>
    <xf numFmtId="0" fontId="3" fillId="0" borderId="37" xfId="58" applyFont="1" applyBorder="1" applyAlignment="1" applyProtection="1">
      <alignment vertical="center" wrapText="1"/>
    </xf>
    <xf numFmtId="0" fontId="3" fillId="0" borderId="57" xfId="58" applyFont="1" applyFill="1" applyBorder="1" applyAlignment="1" applyProtection="1">
      <alignment vertical="center" wrapText="1"/>
    </xf>
    <xf numFmtId="0" fontId="3" fillId="0" borderId="21" xfId="58" applyFont="1" applyFill="1" applyBorder="1" applyAlignment="1" applyProtection="1">
      <alignment vertical="center" wrapText="1"/>
    </xf>
    <xf numFmtId="0" fontId="3" fillId="0" borderId="0" xfId="58" applyFont="1" applyFill="1" applyBorder="1" applyAlignment="1" applyProtection="1">
      <alignment vertical="center" wrapText="1"/>
    </xf>
    <xf numFmtId="0" fontId="3" fillId="0" borderId="22" xfId="58" applyFont="1" applyFill="1" applyBorder="1" applyAlignment="1" applyProtection="1">
      <alignment vertical="center" wrapText="1"/>
    </xf>
    <xf numFmtId="0" fontId="3" fillId="0" borderId="4" xfId="58" applyFont="1" applyFill="1" applyBorder="1" applyAlignment="1" applyProtection="1">
      <alignment vertical="center" wrapText="1"/>
    </xf>
    <xf numFmtId="0" fontId="3" fillId="0" borderId="37" xfId="58" applyFont="1" applyFill="1" applyBorder="1" applyAlignment="1" applyProtection="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0" xfId="0" applyBorder="1" applyAlignment="1">
      <alignment vertical="center" wrapText="1"/>
    </xf>
    <xf numFmtId="0" fontId="0" fillId="0" borderId="84" xfId="0" applyBorder="1" applyAlignment="1">
      <alignment vertical="center" wrapText="1"/>
    </xf>
    <xf numFmtId="0" fontId="0" fillId="0" borderId="79" xfId="0" applyBorder="1" applyAlignment="1">
      <alignment vertical="center" wrapText="1"/>
    </xf>
    <xf numFmtId="0" fontId="0" fillId="0" borderId="85" xfId="0" applyBorder="1" applyAlignment="1">
      <alignment vertical="center" wrapText="1"/>
    </xf>
    <xf numFmtId="0" fontId="3" fillId="0" borderId="57" xfId="0" applyFont="1" applyBorder="1"/>
    <xf numFmtId="3" fontId="7" fillId="33" borderId="6" xfId="71" applyNumberFormat="1" applyFont="1" applyFill="1" applyBorder="1" applyAlignment="1" applyProtection="1">
      <alignment vertical="center"/>
      <protection locked="0"/>
    </xf>
    <xf numFmtId="3" fontId="3" fillId="33" borderId="6" xfId="71" applyNumberFormat="1" applyFont="1" applyFill="1" applyBorder="1" applyAlignment="1" applyProtection="1">
      <alignment vertical="center"/>
      <protection locked="0"/>
    </xf>
    <xf numFmtId="0" fontId="72" fillId="0" borderId="0" xfId="0" applyFont="1" applyAlignment="1">
      <alignment vertical="center"/>
    </xf>
    <xf numFmtId="168" fontId="3" fillId="28" borderId="66" xfId="76" applyFont="1" applyFill="1" applyBorder="1" applyAlignment="1" applyProtection="1">
      <alignment horizontal="center" vertical="center"/>
      <protection hidden="1"/>
    </xf>
    <xf numFmtId="4" fontId="5" fillId="29" borderId="0" xfId="76" applyNumberFormat="1" applyFont="1" applyFill="1" applyBorder="1" applyAlignment="1" applyProtection="1">
      <alignment vertical="center"/>
    </xf>
    <xf numFmtId="168" fontId="5" fillId="0" borderId="0" xfId="76" applyFont="1" applyFill="1" applyBorder="1" applyAlignment="1" applyProtection="1">
      <alignment horizontal="left" vertical="center"/>
    </xf>
    <xf numFmtId="168" fontId="78" fillId="0" borderId="0" xfId="76" applyFont="1" applyFill="1" applyAlignment="1" applyProtection="1"/>
    <xf numFmtId="168" fontId="78" fillId="0" borderId="0" xfId="76" applyFont="1" applyFill="1" applyAlignment="1" applyProtection="1">
      <alignment horizontal="center" vertical="center"/>
    </xf>
    <xf numFmtId="168" fontId="20" fillId="28" borderId="39" xfId="76" applyFont="1" applyFill="1" applyBorder="1" applyAlignment="1" applyProtection="1">
      <alignment vertical="center"/>
      <protection hidden="1"/>
    </xf>
    <xf numFmtId="165" fontId="5" fillId="28" borderId="39" xfId="76" applyNumberFormat="1" applyFont="1" applyFill="1" applyBorder="1" applyAlignment="1" applyProtection="1">
      <alignment vertical="center"/>
      <protection hidden="1"/>
    </xf>
    <xf numFmtId="0" fontId="65" fillId="0" borderId="13" xfId="68" applyFont="1" applyFill="1" applyBorder="1" applyAlignment="1" applyProtection="1">
      <alignment horizontal="left" vertical="center"/>
    </xf>
    <xf numFmtId="166" fontId="3" fillId="0" borderId="4" xfId="0" applyNumberFormat="1" applyFont="1" applyFill="1" applyBorder="1" applyAlignment="1" applyProtection="1">
      <alignment vertical="center"/>
    </xf>
    <xf numFmtId="1" fontId="3" fillId="33" borderId="17" xfId="76" applyNumberFormat="1" applyFont="1" applyFill="1" applyBorder="1" applyAlignment="1" applyProtection="1">
      <alignment vertical="center"/>
      <protection locked="0"/>
    </xf>
    <xf numFmtId="168" fontId="54" fillId="0" borderId="30" xfId="76" applyFont="1" applyFill="1" applyBorder="1" applyAlignment="1" applyProtection="1">
      <alignment horizontal="left" vertical="center"/>
    </xf>
    <xf numFmtId="0" fontId="66" fillId="0" borderId="0" xfId="68" applyFont="1" applyFill="1" applyBorder="1" applyAlignment="1" applyProtection="1">
      <alignment horizontal="center" vertical="center" wrapText="1"/>
    </xf>
    <xf numFmtId="0" fontId="66" fillId="0" borderId="0" xfId="68" applyFont="1" applyFill="1" applyBorder="1" applyAlignment="1" applyProtection="1">
      <alignment horizontal="center" vertical="center" wrapText="1"/>
    </xf>
    <xf numFmtId="168" fontId="85" fillId="0" borderId="0" xfId="76" applyFont="1" applyFill="1" applyAlignment="1" applyProtection="1">
      <alignment horizontal="right"/>
    </xf>
    <xf numFmtId="179" fontId="3" fillId="33" borderId="27" xfId="76" applyNumberFormat="1" applyFont="1" applyFill="1" applyBorder="1" applyAlignment="1" applyProtection="1">
      <alignment vertical="center"/>
      <protection locked="0"/>
    </xf>
    <xf numFmtId="179" fontId="3" fillId="33" borderId="6" xfId="76" applyNumberFormat="1" applyFont="1" applyFill="1" applyBorder="1" applyAlignment="1" applyProtection="1">
      <alignment vertical="center"/>
      <protection locked="0"/>
    </xf>
    <xf numFmtId="179" fontId="3" fillId="33" borderId="58" xfId="76" applyNumberFormat="1" applyFont="1" applyFill="1" applyBorder="1" applyAlignment="1" applyProtection="1">
      <alignment vertical="center"/>
      <protection locked="0"/>
    </xf>
    <xf numFmtId="179" fontId="3" fillId="33" borderId="45" xfId="76" applyNumberFormat="1" applyFont="1" applyFill="1" applyBorder="1" applyAlignment="1" applyProtection="1">
      <alignment vertical="center"/>
      <protection locked="0"/>
    </xf>
    <xf numFmtId="179" fontId="3" fillId="33" borderId="43" xfId="76" applyNumberFormat="1" applyFont="1" applyFill="1" applyBorder="1" applyAlignment="1" applyProtection="1">
      <alignment vertical="center"/>
      <protection locked="0"/>
    </xf>
    <xf numFmtId="179" fontId="3" fillId="33" borderId="47" xfId="76" applyNumberFormat="1" applyFont="1" applyFill="1" applyBorder="1" applyAlignment="1" applyProtection="1">
      <alignment vertical="center"/>
      <protection locked="0"/>
    </xf>
    <xf numFmtId="168" fontId="52" fillId="0" borderId="16" xfId="76" applyFont="1" applyFill="1" applyBorder="1" applyAlignment="1" applyProtection="1">
      <alignment horizontal="left" vertical="center"/>
    </xf>
    <xf numFmtId="168" fontId="52" fillId="0" borderId="17" xfId="76" applyFont="1" applyFill="1" applyBorder="1" applyAlignment="1" applyProtection="1">
      <alignment horizontal="left" vertical="center"/>
    </xf>
    <xf numFmtId="1" fontId="5" fillId="33" borderId="45" xfId="76" applyNumberFormat="1" applyFont="1" applyFill="1" applyBorder="1" applyAlignment="1" applyProtection="1">
      <alignment vertical="center"/>
      <protection locked="0"/>
    </xf>
    <xf numFmtId="0" fontId="72" fillId="0" borderId="0" xfId="0" applyFont="1"/>
    <xf numFmtId="0" fontId="83" fillId="0" borderId="0" xfId="68" applyFont="1" applyFill="1" applyBorder="1" applyAlignment="1" applyProtection="1">
      <alignment horizontal="left" vertical="center" wrapText="1"/>
    </xf>
    <xf numFmtId="179" fontId="3" fillId="33" borderId="60" xfId="76" applyNumberFormat="1" applyFont="1" applyFill="1" applyBorder="1" applyAlignment="1" applyProtection="1">
      <alignment vertical="center"/>
      <protection locked="0"/>
    </xf>
    <xf numFmtId="168" fontId="54" fillId="0" borderId="67" xfId="76" applyFont="1" applyFill="1" applyBorder="1" applyAlignment="1" applyProtection="1">
      <alignment horizontal="left" vertical="center" wrapText="1"/>
    </xf>
    <xf numFmtId="168" fontId="54" fillId="0" borderId="31" xfId="76" applyFont="1" applyFill="1" applyBorder="1" applyAlignment="1" applyProtection="1">
      <alignment horizontal="left" vertical="center" wrapText="1"/>
    </xf>
    <xf numFmtId="179" fontId="3" fillId="33" borderId="32" xfId="76" applyNumberFormat="1" applyFont="1" applyFill="1" applyBorder="1" applyAlignment="1" applyProtection="1">
      <alignment vertical="center"/>
      <protection locked="0"/>
    </xf>
    <xf numFmtId="179" fontId="3" fillId="33" borderId="61" xfId="76" applyNumberFormat="1" applyFont="1" applyFill="1" applyBorder="1" applyAlignment="1" applyProtection="1">
      <alignment vertical="center"/>
      <protection locked="0"/>
    </xf>
    <xf numFmtId="179" fontId="3" fillId="0" borderId="27" xfId="76" applyNumberFormat="1" applyFont="1" applyFill="1" applyBorder="1" applyAlignment="1" applyProtection="1">
      <alignment horizontal="right" vertical="center"/>
    </xf>
    <xf numFmtId="0" fontId="73" fillId="0" borderId="0" xfId="0" applyFont="1"/>
    <xf numFmtId="0" fontId="72" fillId="0" borderId="0" xfId="0" applyFont="1" applyAlignment="1" applyProtection="1">
      <alignment horizontal="center"/>
    </xf>
    <xf numFmtId="0" fontId="72" fillId="0" borderId="0" xfId="0" applyFont="1" applyFill="1" applyBorder="1" applyAlignment="1" applyProtection="1">
      <alignment horizontal="center"/>
    </xf>
    <xf numFmtId="0" fontId="72" fillId="0" borderId="81" xfId="0" applyFont="1" applyBorder="1"/>
    <xf numFmtId="0" fontId="73" fillId="0" borderId="21" xfId="58" applyFont="1" applyBorder="1" applyAlignment="1">
      <alignment vertical="center" wrapText="1"/>
    </xf>
    <xf numFmtId="0" fontId="73" fillId="0" borderId="22" xfId="58" applyFont="1" applyBorder="1" applyAlignment="1">
      <alignment vertical="center" wrapText="1"/>
    </xf>
    <xf numFmtId="0" fontId="73" fillId="0" borderId="37" xfId="58" applyFont="1" applyBorder="1" applyAlignment="1">
      <alignment vertical="center" wrapText="1"/>
    </xf>
    <xf numFmtId="168" fontId="73" fillId="0" borderId="0" xfId="76" applyFont="1" applyFill="1"/>
    <xf numFmtId="4" fontId="5" fillId="0" borderId="81" xfId="0" applyNumberFormat="1" applyFont="1" applyBorder="1" applyAlignment="1">
      <alignment vertical="center"/>
    </xf>
    <xf numFmtId="0" fontId="72" fillId="0" borderId="0" xfId="0" applyFont="1" applyProtection="1"/>
    <xf numFmtId="0" fontId="72" fillId="0" borderId="0" xfId="0" applyFont="1" applyAlignment="1" applyProtection="1"/>
    <xf numFmtId="9" fontId="0" fillId="0" borderId="0" xfId="0" applyNumberFormat="1" applyFill="1" applyBorder="1" applyAlignment="1" applyProtection="1">
      <alignment horizontal="center"/>
      <protection locked="0"/>
    </xf>
    <xf numFmtId="183" fontId="7" fillId="33" borderId="6" xfId="0" applyNumberFormat="1" applyFont="1" applyFill="1" applyBorder="1" applyAlignment="1" applyProtection="1">
      <alignment horizontal="center"/>
      <protection locked="0"/>
    </xf>
    <xf numFmtId="49" fontId="3" fillId="33" borderId="20" xfId="79" applyNumberFormat="1" applyFont="1" applyFill="1" applyBorder="1" applyAlignment="1" applyProtection="1">
      <alignment horizontal="center"/>
      <protection locked="0"/>
    </xf>
    <xf numFmtId="49" fontId="3" fillId="33" borderId="25" xfId="79" applyNumberFormat="1" applyFont="1" applyFill="1" applyBorder="1" applyAlignment="1" applyProtection="1">
      <alignment horizontal="center"/>
      <protection locked="0"/>
    </xf>
    <xf numFmtId="0" fontId="3" fillId="0" borderId="22" xfId="67" applyFont="1" applyFill="1" applyBorder="1" applyAlignment="1" applyProtection="1">
      <alignment horizontal="left" vertical="center"/>
    </xf>
    <xf numFmtId="0" fontId="66" fillId="0" borderId="0" xfId="68" applyFont="1" applyFill="1" applyBorder="1" applyAlignment="1" applyProtection="1">
      <alignment horizontal="center" vertical="center" wrapText="1"/>
    </xf>
    <xf numFmtId="168" fontId="56" fillId="33" borderId="68" xfId="76" applyFont="1" applyFill="1" applyBorder="1" applyAlignment="1" applyProtection="1">
      <alignment horizontal="center" vertical="center"/>
      <protection locked="0"/>
    </xf>
    <xf numFmtId="1" fontId="3" fillId="0" borderId="0" xfId="76" applyNumberFormat="1" applyFont="1" applyProtection="1"/>
    <xf numFmtId="168" fontId="63" fillId="33" borderId="29" xfId="76" applyFont="1" applyFill="1" applyBorder="1" applyAlignment="1" applyProtection="1">
      <alignment horizontal="center" vertical="center"/>
      <protection locked="0"/>
    </xf>
    <xf numFmtId="1" fontId="86" fillId="0" borderId="0" xfId="76" applyNumberFormat="1" applyFont="1" applyFill="1" applyAlignment="1" applyProtection="1">
      <alignment vertical="center"/>
      <protection hidden="1"/>
    </xf>
    <xf numFmtId="168" fontId="3" fillId="0" borderId="45" xfId="76" applyFont="1" applyFill="1" applyBorder="1" applyAlignment="1" applyProtection="1">
      <alignment horizontal="center" vertical="center"/>
    </xf>
    <xf numFmtId="168" fontId="3" fillId="0" borderId="47" xfId="76" applyFont="1" applyFill="1" applyBorder="1" applyAlignment="1" applyProtection="1">
      <alignment horizontal="center" vertical="center"/>
    </xf>
    <xf numFmtId="166" fontId="3" fillId="0" borderId="0" xfId="0" applyNumberFormat="1" applyFont="1" applyFill="1" applyBorder="1" applyAlignment="1" applyProtection="1">
      <alignment horizontal="right" vertical="center"/>
    </xf>
    <xf numFmtId="168" fontId="78" fillId="0" borderId="0" xfId="76" applyFont="1" applyFill="1" applyAlignment="1" applyProtection="1">
      <alignment horizontal="right" vertical="center"/>
    </xf>
    <xf numFmtId="168" fontId="78" fillId="0" borderId="0" xfId="76" applyFont="1" applyFill="1" applyAlignment="1" applyProtection="1">
      <alignment horizontal="left" vertical="center"/>
    </xf>
    <xf numFmtId="168" fontId="78" fillId="0" borderId="0" xfId="76" applyFont="1" applyFill="1" applyBorder="1" applyAlignment="1" applyProtection="1">
      <alignment horizontal="left" vertical="center"/>
    </xf>
    <xf numFmtId="168" fontId="52" fillId="0" borderId="0" xfId="76" applyFont="1" applyFill="1" applyBorder="1" applyAlignment="1" applyProtection="1">
      <alignment horizontal="left" vertical="center"/>
    </xf>
    <xf numFmtId="166" fontId="87" fillId="0" borderId="0" xfId="0" applyNumberFormat="1" applyFont="1" applyFill="1" applyProtection="1"/>
    <xf numFmtId="165" fontId="3" fillId="0" borderId="0" xfId="76" applyNumberFormat="1" applyFont="1" applyFill="1" applyBorder="1" applyAlignment="1" applyProtection="1">
      <alignment vertical="center"/>
      <protection hidden="1"/>
    </xf>
    <xf numFmtId="0" fontId="3" fillId="0" borderId="0" xfId="0" applyFont="1" applyFill="1" applyAlignment="1" applyProtection="1">
      <alignment vertical="center"/>
    </xf>
    <xf numFmtId="0" fontId="3" fillId="0" borderId="0" xfId="0" applyFont="1" applyFill="1" applyAlignment="1">
      <alignment vertical="center"/>
    </xf>
    <xf numFmtId="168" fontId="78" fillId="0" borderId="0" xfId="76" applyFont="1" applyFill="1" applyBorder="1" applyAlignment="1" applyProtection="1">
      <alignment horizontal="right" vertical="center"/>
    </xf>
    <xf numFmtId="165" fontId="5" fillId="0" borderId="0" xfId="76" applyNumberFormat="1" applyFont="1" applyFill="1" applyBorder="1" applyAlignment="1" applyProtection="1">
      <alignment vertical="center"/>
      <protection hidden="1"/>
    </xf>
    <xf numFmtId="168" fontId="88" fillId="0" borderId="0" xfId="76" applyFont="1" applyFill="1" applyAlignment="1" applyProtection="1">
      <alignment horizontal="right" vertical="center"/>
    </xf>
    <xf numFmtId="179" fontId="3" fillId="0" borderId="0" xfId="76" applyNumberFormat="1" applyFont="1" applyFill="1" applyBorder="1" applyAlignment="1" applyProtection="1">
      <alignment vertical="center"/>
      <protection hidden="1"/>
    </xf>
    <xf numFmtId="174" fontId="5" fillId="0" borderId="19" xfId="79" applyFont="1" applyFill="1" applyBorder="1" applyAlignment="1" applyProtection="1">
      <alignment horizontal="right" vertical="center"/>
    </xf>
    <xf numFmtId="4" fontId="78" fillId="0" borderId="0" xfId="0" applyNumberFormat="1" applyFont="1" applyFill="1" applyBorder="1" applyAlignment="1" applyProtection="1">
      <alignment horizontal="right" wrapText="1"/>
    </xf>
    <xf numFmtId="4" fontId="78" fillId="0" borderId="0" xfId="0" applyNumberFormat="1" applyFont="1" applyFill="1" applyBorder="1" applyAlignment="1" applyProtection="1">
      <alignment horizontal="right" vertical="center" wrapText="1"/>
    </xf>
    <xf numFmtId="179" fontId="3" fillId="28" borderId="47" xfId="76" applyNumberFormat="1" applyFont="1" applyFill="1" applyBorder="1" applyAlignment="1" applyProtection="1">
      <alignment vertical="center"/>
      <protection hidden="1"/>
    </xf>
    <xf numFmtId="0" fontId="40" fillId="0" borderId="4" xfId="0" applyFont="1" applyFill="1" applyBorder="1" applyAlignment="1" applyProtection="1">
      <alignment horizontal="right" vertical="center"/>
    </xf>
    <xf numFmtId="0" fontId="0" fillId="0" borderId="18" xfId="0" applyBorder="1"/>
    <xf numFmtId="4" fontId="3" fillId="33" borderId="6" xfId="76" applyNumberFormat="1" applyFont="1" applyFill="1" applyBorder="1" applyAlignment="1" applyProtection="1">
      <alignment vertical="center"/>
      <protection locked="0"/>
    </xf>
    <xf numFmtId="168" fontId="3" fillId="0" borderId="0" xfId="76" applyNumberFormat="1" applyFont="1" applyFill="1" applyAlignment="1" applyProtection="1">
      <alignment vertical="center"/>
    </xf>
    <xf numFmtId="168" fontId="3" fillId="0" borderId="61" xfId="76" applyFont="1" applyFill="1" applyBorder="1" applyAlignment="1" applyProtection="1">
      <alignment horizontal="left" vertical="center"/>
    </xf>
    <xf numFmtId="168" fontId="3" fillId="0" borderId="32" xfId="76" applyFont="1" applyFill="1" applyBorder="1" applyAlignment="1" applyProtection="1">
      <alignment horizontal="left" vertical="center"/>
    </xf>
    <xf numFmtId="168" fontId="89" fillId="0" borderId="13" xfId="76" applyFont="1" applyFill="1" applyBorder="1" applyAlignment="1" applyProtection="1">
      <alignment horizontal="right" vertical="center"/>
    </xf>
    <xf numFmtId="168" fontId="78" fillId="0" borderId="13" xfId="76" applyFont="1" applyFill="1" applyBorder="1" applyAlignment="1" applyProtection="1">
      <alignment horizontal="left" vertical="center"/>
    </xf>
    <xf numFmtId="168" fontId="90" fillId="0" borderId="0" xfId="76" applyFont="1" applyFill="1" applyAlignment="1" applyProtection="1">
      <alignment horizontal="left" vertical="center"/>
    </xf>
    <xf numFmtId="168" fontId="78" fillId="0" borderId="0" xfId="76" applyFont="1" applyFill="1" applyBorder="1" applyAlignment="1" applyProtection="1">
      <alignment horizontal="left" vertical="center"/>
    </xf>
    <xf numFmtId="168" fontId="91" fillId="0" borderId="13" xfId="76" applyFont="1" applyFill="1" applyBorder="1" applyAlignment="1" applyProtection="1">
      <alignment horizontal="left" vertical="center"/>
    </xf>
    <xf numFmtId="168" fontId="5" fillId="0" borderId="69" xfId="76" applyFont="1" applyFill="1" applyBorder="1" applyAlignment="1" applyProtection="1">
      <alignment horizontal="left" vertical="center"/>
    </xf>
    <xf numFmtId="166" fontId="72" fillId="0" borderId="24" xfId="0" applyNumberFormat="1" applyFont="1" applyFill="1" applyBorder="1" applyAlignment="1" applyProtection="1">
      <alignment vertical="center"/>
    </xf>
    <xf numFmtId="181" fontId="72" fillId="0" borderId="0" xfId="71" applyNumberFormat="1" applyFont="1" applyFill="1" applyBorder="1" applyAlignment="1" applyProtection="1">
      <alignment horizontal="center"/>
    </xf>
    <xf numFmtId="166" fontId="72" fillId="0" borderId="34" xfId="0" applyNumberFormat="1" applyFont="1" applyFill="1" applyBorder="1" applyAlignment="1" applyProtection="1">
      <alignment vertical="center"/>
    </xf>
    <xf numFmtId="168" fontId="5" fillId="0" borderId="40" xfId="76" applyFont="1" applyFill="1" applyBorder="1" applyAlignment="1" applyProtection="1"/>
    <xf numFmtId="168" fontId="5" fillId="0" borderId="42" xfId="76" applyFont="1" applyFill="1" applyBorder="1" applyAlignment="1" applyProtection="1"/>
    <xf numFmtId="168" fontId="3" fillId="0" borderId="13" xfId="76" applyFont="1" applyFill="1" applyBorder="1"/>
    <xf numFmtId="179" fontId="3" fillId="33" borderId="51" xfId="71" applyNumberFormat="1" applyFont="1" applyFill="1" applyBorder="1" applyAlignment="1" applyProtection="1">
      <alignment vertical="center"/>
      <protection locked="0"/>
    </xf>
    <xf numFmtId="179" fontId="3" fillId="28" borderId="6" xfId="76" applyNumberFormat="1" applyFont="1" applyFill="1" applyBorder="1" applyAlignment="1" applyProtection="1">
      <alignment vertical="center"/>
      <protection hidden="1"/>
    </xf>
    <xf numFmtId="4" fontId="78" fillId="0" borderId="0" xfId="0" applyNumberFormat="1" applyFont="1" applyFill="1" applyBorder="1" applyAlignment="1" applyProtection="1"/>
    <xf numFmtId="179" fontId="3" fillId="33" borderId="39" xfId="76" applyNumberFormat="1" applyFont="1" applyFill="1" applyBorder="1" applyAlignment="1" applyProtection="1">
      <alignment vertical="center"/>
      <protection locked="0"/>
    </xf>
    <xf numFmtId="0" fontId="92" fillId="0" borderId="0" xfId="0" applyFont="1" applyFill="1"/>
    <xf numFmtId="0" fontId="92" fillId="0" borderId="0" xfId="0" applyFont="1" applyFill="1" applyBorder="1" applyProtection="1"/>
    <xf numFmtId="0" fontId="93" fillId="0" borderId="0" xfId="0" applyFont="1" applyAlignment="1" applyProtection="1">
      <alignment vertical="center" wrapText="1"/>
    </xf>
    <xf numFmtId="168" fontId="3" fillId="0" borderId="21" xfId="76" applyFont="1" applyFill="1" applyBorder="1" applyAlignment="1" applyProtection="1">
      <alignment horizontal="left" vertical="center"/>
    </xf>
    <xf numFmtId="0" fontId="0" fillId="32" borderId="0" xfId="0" applyFill="1" applyProtection="1"/>
    <xf numFmtId="0" fontId="0" fillId="32" borderId="27" xfId="0" applyFill="1" applyBorder="1" applyProtection="1"/>
    <xf numFmtId="0" fontId="0" fillId="32" borderId="18" xfId="0" applyFill="1" applyBorder="1" applyProtection="1"/>
    <xf numFmtId="0" fontId="0" fillId="32" borderId="32" xfId="0" applyFill="1" applyBorder="1" applyProtection="1"/>
    <xf numFmtId="0" fontId="94" fillId="0" borderId="13" xfId="0" applyFont="1" applyFill="1" applyBorder="1" applyAlignment="1" applyProtection="1">
      <alignment horizontal="center" vertical="center"/>
    </xf>
    <xf numFmtId="0" fontId="71" fillId="0" borderId="4" xfId="66" applyFont="1" applyFill="1" applyBorder="1" applyAlignment="1" applyProtection="1">
      <alignment horizontal="center" vertical="center" wrapText="1"/>
    </xf>
    <xf numFmtId="0" fontId="0" fillId="29" borderId="20" xfId="0" applyFill="1" applyBorder="1" applyProtection="1"/>
    <xf numFmtId="0" fontId="0" fillId="29" borderId="36" xfId="0" applyFill="1" applyBorder="1" applyProtection="1"/>
    <xf numFmtId="0" fontId="3" fillId="29" borderId="4" xfId="58" applyFont="1" applyFill="1" applyBorder="1" applyAlignment="1">
      <alignment horizontal="left" vertical="center" wrapText="1"/>
    </xf>
    <xf numFmtId="0" fontId="3" fillId="29" borderId="4" xfId="58" applyFont="1" applyFill="1" applyBorder="1" applyAlignment="1">
      <alignment vertical="center" wrapText="1"/>
    </xf>
    <xf numFmtId="0" fontId="0" fillId="29" borderId="37" xfId="0" applyFill="1" applyBorder="1" applyProtection="1"/>
    <xf numFmtId="0" fontId="0" fillId="29" borderId="22" xfId="0" applyFill="1" applyBorder="1" applyProtection="1"/>
    <xf numFmtId="0" fontId="0" fillId="29" borderId="20" xfId="0" applyFill="1" applyBorder="1" applyAlignment="1" applyProtection="1">
      <alignment horizontal="center" vertical="center"/>
    </xf>
    <xf numFmtId="0" fontId="0" fillId="29" borderId="4" xfId="0" applyFill="1" applyBorder="1" applyProtection="1"/>
    <xf numFmtId="0" fontId="95" fillId="0" borderId="13" xfId="0" applyFont="1" applyFill="1" applyBorder="1" applyAlignment="1" applyProtection="1">
      <alignment horizontal="center" vertical="center"/>
    </xf>
    <xf numFmtId="0" fontId="96" fillId="0" borderId="57" xfId="0" applyFont="1" applyFill="1" applyBorder="1" applyAlignment="1" applyProtection="1">
      <alignment horizontal="center" vertical="top"/>
    </xf>
    <xf numFmtId="0" fontId="81" fillId="0" borderId="0" xfId="0" applyFont="1" applyAlignment="1">
      <alignment vertical="top"/>
    </xf>
    <xf numFmtId="0" fontId="95" fillId="0" borderId="17" xfId="0" applyFont="1" applyFill="1" applyBorder="1" applyAlignment="1" applyProtection="1">
      <alignment horizontal="center" vertical="center"/>
    </xf>
    <xf numFmtId="0" fontId="95" fillId="0" borderId="5" xfId="0" applyFont="1" applyFill="1" applyBorder="1" applyAlignment="1" applyProtection="1">
      <alignment horizontal="center" vertical="center"/>
    </xf>
    <xf numFmtId="0" fontId="95" fillId="0" borderId="69" xfId="0" applyFont="1" applyFill="1" applyBorder="1" applyAlignment="1" applyProtection="1">
      <alignment horizontal="right" vertical="center"/>
    </xf>
    <xf numFmtId="0" fontId="95" fillId="0" borderId="61" xfId="0" applyFont="1" applyFill="1" applyBorder="1" applyAlignment="1" applyProtection="1">
      <alignment horizontal="right" vertical="center"/>
    </xf>
    <xf numFmtId="0" fontId="97" fillId="0" borderId="0" xfId="67" applyFont="1" applyFill="1" applyBorder="1" applyAlignment="1" applyProtection="1">
      <alignment horizontal="center" vertical="center" wrapText="1"/>
    </xf>
    <xf numFmtId="0" fontId="95" fillId="0" borderId="0" xfId="0" applyFont="1" applyFill="1" applyAlignment="1">
      <alignment horizontal="right" vertical="center"/>
    </xf>
    <xf numFmtId="0" fontId="5" fillId="0" borderId="21" xfId="66" applyFill="1" applyBorder="1" applyAlignment="1" applyProtection="1">
      <alignment horizontal="center" vertical="center" wrapText="1"/>
    </xf>
    <xf numFmtId="0" fontId="64" fillId="0" borderId="21" xfId="58" applyFill="1" applyBorder="1" applyAlignment="1" applyProtection="1">
      <alignment vertical="center" wrapText="1"/>
    </xf>
    <xf numFmtId="0" fontId="64" fillId="0" borderId="22" xfId="58" applyFill="1" applyBorder="1" applyAlignment="1" applyProtection="1">
      <alignment vertical="center" wrapText="1"/>
    </xf>
    <xf numFmtId="0" fontId="64" fillId="0" borderId="37" xfId="58" applyFill="1" applyBorder="1" applyAlignment="1" applyProtection="1">
      <alignment vertical="center" wrapText="1"/>
    </xf>
    <xf numFmtId="9" fontId="73" fillId="30" borderId="6" xfId="69" applyNumberFormat="1" applyFont="1" applyFill="1" applyBorder="1" applyAlignment="1" applyProtection="1">
      <alignment vertical="center"/>
      <protection hidden="1"/>
    </xf>
    <xf numFmtId="166" fontId="52" fillId="30" borderId="27" xfId="0" applyNumberFormat="1" applyFont="1" applyFill="1" applyBorder="1" applyAlignment="1" applyProtection="1">
      <alignment horizontal="left" vertical="center"/>
      <protection hidden="1"/>
    </xf>
    <xf numFmtId="166" fontId="3" fillId="30" borderId="32" xfId="0" applyNumberFormat="1" applyFont="1" applyFill="1" applyBorder="1" applyAlignment="1" applyProtection="1">
      <alignment vertical="center"/>
      <protection hidden="1"/>
    </xf>
    <xf numFmtId="166" fontId="3" fillId="30" borderId="37" xfId="0" applyNumberFormat="1" applyFont="1" applyFill="1" applyBorder="1" applyAlignment="1" applyProtection="1">
      <alignment vertical="center"/>
      <protection hidden="1"/>
    </xf>
    <xf numFmtId="184" fontId="3" fillId="30" borderId="32" xfId="0" applyNumberFormat="1" applyFont="1" applyFill="1" applyBorder="1" applyAlignment="1" applyProtection="1">
      <alignment vertical="center"/>
      <protection hidden="1"/>
    </xf>
    <xf numFmtId="166" fontId="65" fillId="30" borderId="32" xfId="0" applyNumberFormat="1" applyFont="1" applyFill="1" applyBorder="1" applyAlignment="1" applyProtection="1">
      <alignment vertical="center"/>
      <protection hidden="1"/>
    </xf>
    <xf numFmtId="166" fontId="52" fillId="30" borderId="36" xfId="0" applyNumberFormat="1" applyFont="1" applyFill="1" applyBorder="1" applyAlignment="1" applyProtection="1">
      <alignment horizontal="left" vertical="center"/>
      <protection hidden="1"/>
    </xf>
    <xf numFmtId="166" fontId="69" fillId="30" borderId="32" xfId="0" applyNumberFormat="1" applyFont="1" applyFill="1" applyBorder="1" applyAlignment="1" applyProtection="1">
      <alignment vertical="center"/>
      <protection hidden="1"/>
    </xf>
    <xf numFmtId="166" fontId="65" fillId="30" borderId="37" xfId="0" applyNumberFormat="1" applyFont="1" applyFill="1" applyBorder="1" applyAlignment="1" applyProtection="1">
      <alignment vertical="center"/>
      <protection hidden="1"/>
    </xf>
    <xf numFmtId="166" fontId="52" fillId="30" borderId="67" xfId="0" applyNumberFormat="1" applyFont="1" applyFill="1" applyBorder="1" applyAlignment="1" applyProtection="1">
      <alignment horizontal="left" vertical="center"/>
      <protection hidden="1"/>
    </xf>
    <xf numFmtId="166" fontId="66" fillId="30" borderId="41" xfId="0" applyNumberFormat="1" applyFont="1" applyFill="1" applyBorder="1" applyAlignment="1" applyProtection="1">
      <alignment vertical="center"/>
      <protection hidden="1"/>
    </xf>
    <xf numFmtId="166" fontId="3" fillId="30" borderId="21" xfId="0" applyNumberFormat="1" applyFont="1" applyFill="1" applyBorder="1" applyAlignment="1" applyProtection="1">
      <alignment vertical="center"/>
      <protection hidden="1"/>
    </xf>
    <xf numFmtId="166" fontId="66" fillId="30" borderId="32" xfId="0" applyNumberFormat="1" applyFont="1" applyFill="1" applyBorder="1" applyAlignment="1" applyProtection="1">
      <alignment vertical="center"/>
      <protection hidden="1"/>
    </xf>
    <xf numFmtId="0" fontId="69" fillId="30" borderId="27" xfId="0" applyFont="1" applyFill="1" applyBorder="1" applyAlignment="1" applyProtection="1">
      <alignment horizontal="center" vertical="center"/>
      <protection hidden="1"/>
    </xf>
    <xf numFmtId="2" fontId="3" fillId="30" borderId="32" xfId="0" applyNumberFormat="1" applyFont="1" applyFill="1" applyBorder="1" applyAlignment="1" applyProtection="1">
      <alignment vertical="center"/>
      <protection hidden="1"/>
    </xf>
    <xf numFmtId="0" fontId="3" fillId="30" borderId="32" xfId="0" applyFont="1" applyFill="1" applyBorder="1" applyAlignment="1" applyProtection="1">
      <alignment horizontal="right" vertical="center"/>
      <protection hidden="1"/>
    </xf>
    <xf numFmtId="174" fontId="3" fillId="30" borderId="32" xfId="79" applyFont="1" applyFill="1" applyBorder="1" applyAlignment="1" applyProtection="1">
      <alignment vertical="center"/>
      <protection hidden="1"/>
    </xf>
    <xf numFmtId="179" fontId="3" fillId="30" borderId="32" xfId="71" applyNumberFormat="1" applyFont="1" applyFill="1" applyBorder="1" applyProtection="1">
      <alignment horizontal="right"/>
      <protection hidden="1"/>
    </xf>
    <xf numFmtId="178" fontId="3" fillId="30" borderId="32" xfId="69" applyNumberFormat="1" applyFont="1" applyFill="1" applyBorder="1" applyAlignment="1" applyProtection="1">
      <alignment vertical="center"/>
      <protection hidden="1"/>
    </xf>
    <xf numFmtId="1" fontId="3" fillId="30" borderId="32" xfId="71" applyNumberFormat="1" applyFont="1" applyFill="1" applyBorder="1" applyAlignment="1" applyProtection="1">
      <alignment vertical="center"/>
      <protection hidden="1"/>
    </xf>
    <xf numFmtId="166" fontId="72" fillId="29" borderId="13" xfId="0" applyNumberFormat="1" applyFont="1" applyFill="1" applyBorder="1" applyAlignment="1" applyProtection="1">
      <alignment vertical="center"/>
      <protection hidden="1"/>
    </xf>
    <xf numFmtId="175" fontId="7" fillId="30" borderId="25" xfId="0" applyNumberFormat="1" applyFont="1" applyFill="1" applyBorder="1" applyAlignment="1" applyProtection="1">
      <alignment vertical="center"/>
      <protection hidden="1"/>
    </xf>
    <xf numFmtId="175" fontId="7" fillId="30" borderId="6" xfId="0" applyNumberFormat="1" applyFont="1" applyFill="1" applyBorder="1" applyAlignment="1" applyProtection="1">
      <alignment vertical="center"/>
      <protection hidden="1"/>
    </xf>
    <xf numFmtId="176" fontId="3" fillId="30" borderId="6" xfId="0" applyNumberFormat="1" applyFont="1" applyFill="1" applyBorder="1" applyAlignment="1" applyProtection="1">
      <alignment vertical="center"/>
      <protection hidden="1"/>
    </xf>
    <xf numFmtId="166" fontId="7" fillId="30" borderId="25" xfId="0" applyNumberFormat="1" applyFont="1" applyFill="1" applyBorder="1" applyAlignment="1" applyProtection="1">
      <alignment vertical="center"/>
      <protection hidden="1"/>
    </xf>
    <xf numFmtId="166" fontId="7" fillId="30" borderId="6" xfId="0" applyNumberFormat="1" applyFont="1" applyFill="1" applyBorder="1" applyAlignment="1" applyProtection="1">
      <alignment vertical="center"/>
      <protection hidden="1"/>
    </xf>
    <xf numFmtId="175" fontId="3" fillId="30" borderId="6" xfId="0" applyNumberFormat="1" applyFont="1" applyFill="1" applyBorder="1" applyAlignment="1" applyProtection="1">
      <alignment vertical="center"/>
      <protection hidden="1"/>
    </xf>
    <xf numFmtId="176" fontId="7" fillId="30" borderId="6" xfId="0" applyNumberFormat="1" applyFont="1" applyFill="1" applyBorder="1" applyAlignment="1" applyProtection="1">
      <alignment vertical="center"/>
      <protection hidden="1"/>
    </xf>
    <xf numFmtId="0" fontId="5" fillId="0" borderId="38" xfId="67" applyFont="1" applyFill="1" applyBorder="1" applyAlignment="1" applyProtection="1">
      <protection hidden="1"/>
    </xf>
    <xf numFmtId="166" fontId="0" fillId="0" borderId="13" xfId="0" applyNumberFormat="1" applyFill="1" applyBorder="1" applyAlignment="1" applyProtection="1">
      <alignment vertical="center"/>
      <protection hidden="1"/>
    </xf>
    <xf numFmtId="0" fontId="72" fillId="0" borderId="13" xfId="0" applyFont="1" applyFill="1" applyBorder="1" applyAlignment="1" applyProtection="1">
      <alignment vertical="center"/>
      <protection hidden="1"/>
    </xf>
    <xf numFmtId="166" fontId="98" fillId="0" borderId="0" xfId="0" applyNumberFormat="1" applyFont="1" applyFill="1" applyBorder="1" applyAlignment="1" applyProtection="1">
      <alignment horizontal="right" vertical="center"/>
      <protection hidden="1"/>
    </xf>
    <xf numFmtId="166" fontId="52" fillId="30" borderId="27" xfId="0" applyNumberFormat="1" applyFont="1" applyFill="1" applyBorder="1" applyAlignment="1" applyProtection="1">
      <alignment vertical="center"/>
      <protection hidden="1"/>
    </xf>
    <xf numFmtId="166" fontId="52" fillId="30" borderId="35" xfId="0" applyNumberFormat="1" applyFont="1" applyFill="1" applyBorder="1" applyAlignment="1" applyProtection="1">
      <alignment vertical="center"/>
      <protection hidden="1"/>
    </xf>
    <xf numFmtId="166" fontId="3" fillId="30" borderId="6" xfId="0" applyNumberFormat="1" applyFont="1" applyFill="1" applyBorder="1" applyAlignment="1" applyProtection="1">
      <alignment vertical="center"/>
      <protection hidden="1"/>
    </xf>
    <xf numFmtId="166" fontId="3" fillId="30" borderId="25" xfId="0" applyNumberFormat="1" applyFont="1" applyFill="1" applyBorder="1" applyAlignment="1" applyProtection="1">
      <alignment vertical="center"/>
      <protection hidden="1"/>
    </xf>
    <xf numFmtId="166" fontId="3" fillId="30" borderId="25" xfId="0" applyNumberFormat="1" applyFont="1" applyFill="1" applyBorder="1" applyAlignment="1" applyProtection="1">
      <alignment horizontal="right" vertical="center"/>
      <protection hidden="1"/>
    </xf>
    <xf numFmtId="166" fontId="72" fillId="0" borderId="0" xfId="0" applyNumberFormat="1" applyFont="1" applyFill="1" applyBorder="1" applyAlignment="1" applyProtection="1">
      <alignment horizontal="right" vertical="center"/>
      <protection hidden="1"/>
    </xf>
    <xf numFmtId="174" fontId="40" fillId="30" borderId="6" xfId="0" applyNumberFormat="1" applyFont="1" applyFill="1" applyBorder="1" applyAlignment="1" applyProtection="1">
      <alignment vertical="center"/>
      <protection hidden="1"/>
    </xf>
    <xf numFmtId="167" fontId="7" fillId="30" borderId="6" xfId="0" applyNumberFormat="1" applyFont="1" applyFill="1" applyBorder="1" applyAlignment="1" applyProtection="1">
      <alignment vertical="center"/>
      <protection hidden="1"/>
    </xf>
    <xf numFmtId="183" fontId="40" fillId="30" borderId="6" xfId="0" applyNumberFormat="1" applyFont="1" applyFill="1" applyBorder="1" applyAlignment="1" applyProtection="1">
      <alignment vertical="center"/>
      <protection hidden="1"/>
    </xf>
    <xf numFmtId="183" fontId="40" fillId="30" borderId="25" xfId="0" applyNumberFormat="1" applyFont="1" applyFill="1" applyBorder="1" applyAlignment="1" applyProtection="1">
      <alignment vertical="center"/>
      <protection hidden="1"/>
    </xf>
    <xf numFmtId="167" fontId="7" fillId="30" borderId="25" xfId="0" applyNumberFormat="1" applyFont="1" applyFill="1" applyBorder="1" applyAlignment="1" applyProtection="1">
      <alignment vertical="center"/>
      <protection hidden="1"/>
    </xf>
    <xf numFmtId="0" fontId="52" fillId="30" borderId="27" xfId="0" applyNumberFormat="1" applyFont="1" applyFill="1" applyBorder="1" applyAlignment="1" applyProtection="1">
      <alignment vertical="center" wrapText="1"/>
      <protection hidden="1"/>
    </xf>
    <xf numFmtId="166" fontId="3" fillId="30" borderId="32" xfId="0" applyNumberFormat="1" applyFont="1" applyFill="1" applyBorder="1" applyAlignment="1" applyProtection="1">
      <alignment vertical="center" wrapText="1"/>
      <protection hidden="1"/>
    </xf>
    <xf numFmtId="0" fontId="52" fillId="30" borderId="27" xfId="0" applyNumberFormat="1" applyFont="1" applyFill="1" applyBorder="1" applyAlignment="1" applyProtection="1">
      <alignment vertical="center"/>
      <protection hidden="1"/>
    </xf>
    <xf numFmtId="167" fontId="52" fillId="30" borderId="27" xfId="0" applyNumberFormat="1" applyFont="1" applyFill="1" applyBorder="1" applyAlignment="1" applyProtection="1">
      <alignment vertical="center"/>
      <protection hidden="1"/>
    </xf>
    <xf numFmtId="167" fontId="3" fillId="30" borderId="32" xfId="0" applyNumberFormat="1" applyFont="1" applyFill="1" applyBorder="1" applyAlignment="1" applyProtection="1">
      <alignment vertical="center"/>
      <protection hidden="1"/>
    </xf>
    <xf numFmtId="166" fontId="87" fillId="0" borderId="0" xfId="0" applyNumberFormat="1" applyFont="1" applyFill="1" applyProtection="1">
      <protection hidden="1"/>
    </xf>
    <xf numFmtId="166" fontId="3" fillId="30" borderId="27" xfId="0" applyNumberFormat="1" applyFont="1" applyFill="1" applyBorder="1" applyAlignment="1" applyProtection="1">
      <alignment horizontal="left" vertical="center"/>
      <protection hidden="1"/>
    </xf>
    <xf numFmtId="166" fontId="3" fillId="30" borderId="32" xfId="0" applyNumberFormat="1" applyFont="1" applyFill="1" applyBorder="1" applyAlignment="1" applyProtection="1">
      <alignment horizontal="right" vertical="center"/>
      <protection hidden="1"/>
    </xf>
    <xf numFmtId="166" fontId="49" fillId="28" borderId="6" xfId="0" applyNumberFormat="1" applyFont="1" applyFill="1" applyBorder="1" applyAlignment="1" applyProtection="1">
      <alignment vertical="center"/>
      <protection hidden="1"/>
    </xf>
    <xf numFmtId="179" fontId="5" fillId="28" borderId="45" xfId="76" applyNumberFormat="1" applyFont="1" applyFill="1" applyBorder="1" applyAlignment="1" applyProtection="1">
      <alignment vertical="center"/>
      <protection hidden="1"/>
    </xf>
    <xf numFmtId="179" fontId="5" fillId="28" borderId="66" xfId="76" applyNumberFormat="1" applyFont="1" applyFill="1" applyBorder="1" applyAlignment="1" applyProtection="1">
      <alignment vertical="center"/>
      <protection hidden="1"/>
    </xf>
    <xf numFmtId="179" fontId="5" fillId="28" borderId="39" xfId="76" applyNumberFormat="1" applyFont="1" applyFill="1" applyBorder="1" applyAlignment="1" applyProtection="1">
      <alignment vertical="center"/>
      <protection hidden="1"/>
    </xf>
    <xf numFmtId="168" fontId="72" fillId="0" borderId="81" xfId="76" applyFont="1" applyFill="1" applyBorder="1" applyAlignment="1" applyProtection="1">
      <alignment horizontal="right" vertical="center"/>
      <protection hidden="1"/>
    </xf>
    <xf numFmtId="168" fontId="99" fillId="0" borderId="81" xfId="0" applyNumberFormat="1" applyFont="1" applyBorder="1" applyProtection="1">
      <protection hidden="1"/>
    </xf>
    <xf numFmtId="179" fontId="5" fillId="28" borderId="70" xfId="76" applyNumberFormat="1" applyFont="1" applyFill="1" applyBorder="1" applyAlignment="1" applyProtection="1">
      <alignment vertical="center"/>
      <protection hidden="1"/>
    </xf>
    <xf numFmtId="4" fontId="99" fillId="0" borderId="81" xfId="0" applyNumberFormat="1" applyFont="1" applyBorder="1" applyAlignment="1" applyProtection="1">
      <alignment horizontal="right" vertical="center"/>
      <protection hidden="1"/>
    </xf>
    <xf numFmtId="4" fontId="99" fillId="0" borderId="81" xfId="0" applyNumberFormat="1" applyFont="1" applyBorder="1" applyAlignment="1" applyProtection="1">
      <alignment vertical="center"/>
      <protection hidden="1"/>
    </xf>
    <xf numFmtId="168" fontId="72" fillId="0" borderId="0" xfId="76" applyFont="1" applyAlignment="1" applyProtection="1">
      <alignment vertical="center"/>
      <protection hidden="1"/>
    </xf>
    <xf numFmtId="0" fontId="3" fillId="0" borderId="6" xfId="76" quotePrefix="1" applyNumberFormat="1" applyFont="1" applyFill="1" applyBorder="1" applyAlignment="1" applyProtection="1">
      <alignment horizontal="center" vertical="center"/>
      <protection hidden="1"/>
    </xf>
    <xf numFmtId="1" fontId="3" fillId="28" borderId="6" xfId="76" applyNumberFormat="1" applyFont="1" applyFill="1" applyBorder="1" applyAlignment="1" applyProtection="1">
      <alignment vertical="center"/>
      <protection hidden="1"/>
    </xf>
    <xf numFmtId="1" fontId="3" fillId="28" borderId="43" xfId="76" applyNumberFormat="1" applyFont="1" applyFill="1" applyBorder="1" applyAlignment="1" applyProtection="1">
      <alignment vertical="center"/>
      <protection hidden="1"/>
    </xf>
    <xf numFmtId="170" fontId="3" fillId="28" borderId="6" xfId="76" applyNumberFormat="1" applyFont="1" applyFill="1" applyBorder="1" applyAlignment="1" applyProtection="1">
      <alignment vertical="center"/>
      <protection hidden="1"/>
    </xf>
    <xf numFmtId="170" fontId="3" fillId="28" borderId="43" xfId="76" applyNumberFormat="1" applyFont="1" applyFill="1" applyBorder="1" applyAlignment="1" applyProtection="1">
      <alignment vertical="center"/>
      <protection hidden="1"/>
    </xf>
    <xf numFmtId="170" fontId="3" fillId="28" borderId="45" xfId="76" applyNumberFormat="1" applyFont="1" applyFill="1" applyBorder="1" applyAlignment="1" applyProtection="1">
      <alignment vertical="center"/>
      <protection hidden="1"/>
    </xf>
    <xf numFmtId="170" fontId="3" fillId="28" borderId="47" xfId="76" applyNumberFormat="1" applyFont="1" applyFill="1" applyBorder="1" applyAlignment="1" applyProtection="1">
      <alignment vertical="center"/>
      <protection hidden="1"/>
    </xf>
    <xf numFmtId="179" fontId="3" fillId="28" borderId="27" xfId="76" applyNumberFormat="1" applyFont="1" applyFill="1" applyBorder="1" applyAlignment="1" applyProtection="1">
      <alignment vertical="center"/>
      <protection hidden="1"/>
    </xf>
    <xf numFmtId="179" fontId="3" fillId="28" borderId="43" xfId="76" applyNumberFormat="1" applyFont="1" applyFill="1" applyBorder="1" applyAlignment="1" applyProtection="1">
      <alignment vertical="center"/>
      <protection hidden="1"/>
    </xf>
    <xf numFmtId="168" fontId="3" fillId="28" borderId="39" xfId="76" quotePrefix="1" applyNumberFormat="1" applyFont="1" applyFill="1" applyBorder="1" applyAlignment="1" applyProtection="1">
      <alignment horizontal="center" vertical="center"/>
      <protection hidden="1"/>
    </xf>
    <xf numFmtId="0" fontId="3" fillId="0" borderId="45" xfId="76" quotePrefix="1" applyNumberFormat="1" applyFont="1" applyFill="1" applyBorder="1" applyAlignment="1" applyProtection="1">
      <alignment horizontal="center" vertical="center"/>
      <protection hidden="1"/>
    </xf>
    <xf numFmtId="170" fontId="54" fillId="28" borderId="6" xfId="76" applyNumberFormat="1" applyFont="1" applyFill="1" applyBorder="1" applyAlignment="1" applyProtection="1">
      <alignment horizontal="center" vertical="center"/>
      <protection hidden="1"/>
    </xf>
    <xf numFmtId="170" fontId="54" fillId="28" borderId="43" xfId="76" applyNumberFormat="1" applyFont="1" applyFill="1" applyBorder="1" applyAlignment="1" applyProtection="1">
      <alignment horizontal="center" vertical="center"/>
      <protection hidden="1"/>
    </xf>
    <xf numFmtId="179" fontId="3" fillId="28" borderId="27" xfId="76" applyNumberFormat="1" applyFont="1" applyFill="1" applyBorder="1" applyAlignment="1" applyProtection="1">
      <alignment horizontal="right" vertical="center"/>
      <protection hidden="1"/>
    </xf>
    <xf numFmtId="179" fontId="3" fillId="28" borderId="43" xfId="76" applyNumberFormat="1" applyFont="1" applyFill="1" applyBorder="1" applyAlignment="1" applyProtection="1">
      <alignment horizontal="right" vertical="center"/>
      <protection hidden="1"/>
    </xf>
    <xf numFmtId="4" fontId="5" fillId="28" borderId="70" xfId="76" applyNumberFormat="1" applyFont="1" applyFill="1" applyBorder="1" applyAlignment="1" applyProtection="1">
      <alignment vertical="center"/>
      <protection hidden="1"/>
    </xf>
    <xf numFmtId="4" fontId="3" fillId="28" borderId="54" xfId="76" applyNumberFormat="1" applyFont="1" applyFill="1" applyBorder="1" applyAlignment="1" applyProtection="1">
      <alignment vertical="center"/>
      <protection hidden="1"/>
    </xf>
    <xf numFmtId="168" fontId="54" fillId="28" borderId="6" xfId="76" applyFont="1" applyFill="1" applyBorder="1" applyAlignment="1" applyProtection="1">
      <alignment horizontal="center" vertical="center"/>
      <protection hidden="1"/>
    </xf>
    <xf numFmtId="168" fontId="54" fillId="28" borderId="43" xfId="76" applyFont="1" applyFill="1" applyBorder="1" applyAlignment="1" applyProtection="1">
      <alignment horizontal="center" vertical="center"/>
      <protection hidden="1"/>
    </xf>
    <xf numFmtId="0" fontId="72" fillId="0" borderId="0" xfId="0" applyFont="1" applyAlignment="1" applyProtection="1">
      <alignment vertical="center"/>
      <protection hidden="1"/>
    </xf>
    <xf numFmtId="168" fontId="3" fillId="28" borderId="39" xfId="76" applyNumberFormat="1" applyFont="1" applyFill="1" applyBorder="1" applyAlignment="1" applyProtection="1">
      <alignment horizontal="center" vertical="center"/>
      <protection hidden="1"/>
    </xf>
    <xf numFmtId="4" fontId="5" fillId="29" borderId="32" xfId="76" applyNumberFormat="1" applyFont="1" applyFill="1" applyBorder="1" applyAlignment="1" applyProtection="1">
      <alignment vertical="center"/>
      <protection hidden="1"/>
    </xf>
    <xf numFmtId="2" fontId="5" fillId="28" borderId="39" xfId="76" applyNumberFormat="1" applyFont="1" applyFill="1" applyBorder="1" applyAlignment="1" applyProtection="1">
      <alignment vertical="center"/>
      <protection hidden="1"/>
    </xf>
    <xf numFmtId="4" fontId="5" fillId="29" borderId="6" xfId="76" applyNumberFormat="1" applyFont="1" applyFill="1" applyBorder="1" applyAlignment="1" applyProtection="1">
      <alignment vertical="center"/>
      <protection hidden="1"/>
    </xf>
    <xf numFmtId="4" fontId="3" fillId="28" borderId="6" xfId="76" applyNumberFormat="1" applyFont="1" applyFill="1" applyBorder="1" applyAlignment="1" applyProtection="1">
      <alignment vertical="center"/>
      <protection hidden="1"/>
    </xf>
    <xf numFmtId="4" fontId="3" fillId="28" borderId="24" xfId="76" applyNumberFormat="1" applyFont="1" applyFill="1" applyBorder="1" applyAlignment="1" applyProtection="1">
      <alignment vertical="center"/>
      <protection hidden="1"/>
    </xf>
    <xf numFmtId="168" fontId="52" fillId="28" borderId="39" xfId="76" applyNumberFormat="1" applyFont="1" applyFill="1" applyBorder="1" applyAlignment="1" applyProtection="1">
      <alignment horizontal="center" vertical="center"/>
      <protection hidden="1"/>
    </xf>
    <xf numFmtId="168" fontId="5" fillId="28" borderId="39" xfId="76" applyFont="1" applyFill="1" applyBorder="1" applyAlignment="1" applyProtection="1">
      <alignment horizontal="right" vertical="center"/>
      <protection hidden="1"/>
    </xf>
    <xf numFmtId="168" fontId="20" fillId="31" borderId="71" xfId="76" applyFont="1" applyFill="1" applyBorder="1" applyAlignment="1" applyProtection="1">
      <alignment horizontal="center" vertical="center"/>
      <protection hidden="1"/>
    </xf>
    <xf numFmtId="2" fontId="5" fillId="28" borderId="45" xfId="76" applyNumberFormat="1" applyFont="1" applyFill="1" applyBorder="1" applyAlignment="1" applyProtection="1">
      <alignment vertical="center"/>
      <protection hidden="1"/>
    </xf>
    <xf numFmtId="2" fontId="5" fillId="28" borderId="47" xfId="76" applyNumberFormat="1" applyFont="1" applyFill="1" applyBorder="1" applyAlignment="1" applyProtection="1">
      <alignment vertical="center"/>
      <protection hidden="1"/>
    </xf>
    <xf numFmtId="4" fontId="3" fillId="28" borderId="39" xfId="76" applyNumberFormat="1" applyFont="1" applyFill="1" applyBorder="1" applyAlignment="1" applyProtection="1">
      <alignment vertical="center"/>
      <protection hidden="1"/>
    </xf>
    <xf numFmtId="174" fontId="3" fillId="28" borderId="39" xfId="79" applyFont="1" applyFill="1" applyBorder="1" applyAlignment="1" applyProtection="1">
      <alignment horizontal="center" vertical="center"/>
      <protection hidden="1"/>
    </xf>
    <xf numFmtId="183" fontId="3" fillId="31" borderId="39" xfId="79" applyNumberFormat="1" applyFont="1" applyFill="1" applyBorder="1" applyAlignment="1" applyProtection="1">
      <alignment horizontal="center" vertical="center"/>
      <protection hidden="1"/>
    </xf>
    <xf numFmtId="2" fontId="3" fillId="28" borderId="39" xfId="76" applyNumberFormat="1" applyFont="1" applyFill="1" applyBorder="1" applyAlignment="1" applyProtection="1">
      <alignment vertical="center"/>
      <protection hidden="1"/>
    </xf>
    <xf numFmtId="2" fontId="3" fillId="28" borderId="45" xfId="76" applyNumberFormat="1" applyFont="1" applyFill="1" applyBorder="1" applyAlignment="1" applyProtection="1">
      <alignment vertical="center"/>
      <protection hidden="1"/>
    </xf>
    <xf numFmtId="2" fontId="3" fillId="28" borderId="47" xfId="76" applyNumberFormat="1" applyFont="1" applyFill="1" applyBorder="1" applyAlignment="1" applyProtection="1">
      <alignment vertical="center"/>
      <protection hidden="1"/>
    </xf>
    <xf numFmtId="0" fontId="0" fillId="31" borderId="59" xfId="0" applyFill="1" applyBorder="1" applyAlignment="1" applyProtection="1">
      <alignment horizontal="center"/>
      <protection hidden="1"/>
    </xf>
    <xf numFmtId="0" fontId="0" fillId="31" borderId="55" xfId="0" applyFill="1" applyBorder="1" applyAlignment="1" applyProtection="1">
      <alignment horizontal="center"/>
      <protection hidden="1"/>
    </xf>
    <xf numFmtId="173" fontId="7" fillId="28" borderId="45" xfId="71" applyFill="1" applyBorder="1" applyProtection="1">
      <alignment horizontal="right"/>
      <protection hidden="1"/>
    </xf>
    <xf numFmtId="173" fontId="7" fillId="28" borderId="47" xfId="71" applyFill="1" applyBorder="1" applyProtection="1">
      <alignment horizontal="right"/>
      <protection hidden="1"/>
    </xf>
    <xf numFmtId="177" fontId="77" fillId="31" borderId="25" xfId="69" applyNumberFormat="1" applyFont="1" applyFill="1" applyBorder="1" applyProtection="1">
      <alignment horizontal="right"/>
      <protection hidden="1"/>
    </xf>
    <xf numFmtId="173" fontId="77" fillId="28" borderId="25" xfId="71" applyFont="1" applyFill="1" applyBorder="1" applyProtection="1">
      <alignment horizontal="right"/>
      <protection hidden="1"/>
    </xf>
    <xf numFmtId="1" fontId="0" fillId="0" borderId="34" xfId="0" applyNumberFormat="1" applyFill="1" applyBorder="1" applyAlignment="1" applyProtection="1">
      <alignment horizontal="center"/>
      <protection hidden="1"/>
    </xf>
    <xf numFmtId="1" fontId="0" fillId="0" borderId="25" xfId="0" applyNumberFormat="1" applyFill="1" applyBorder="1" applyAlignment="1" applyProtection="1">
      <alignment horizontal="center"/>
      <protection hidden="1"/>
    </xf>
    <xf numFmtId="1" fontId="3" fillId="0" borderId="34" xfId="0" applyNumberFormat="1" applyFont="1" applyFill="1" applyBorder="1" applyAlignment="1" applyProtection="1">
      <alignment horizontal="center"/>
      <protection hidden="1"/>
    </xf>
    <xf numFmtId="1" fontId="3" fillId="0" borderId="25" xfId="0" applyNumberFormat="1" applyFont="1" applyFill="1" applyBorder="1" applyAlignment="1" applyProtection="1">
      <alignment horizontal="center"/>
      <protection hidden="1"/>
    </xf>
    <xf numFmtId="0" fontId="66" fillId="0" borderId="0" xfId="68" applyFont="1" applyFill="1" applyBorder="1" applyAlignment="1" applyProtection="1">
      <alignment horizontal="center" vertical="center" wrapText="1"/>
    </xf>
    <xf numFmtId="0" fontId="100" fillId="0" borderId="0" xfId="0" applyFont="1" applyAlignment="1" applyProtection="1">
      <alignment horizontal="right" vertical="center" wrapText="1"/>
    </xf>
    <xf numFmtId="9" fontId="0" fillId="33" borderId="32" xfId="0" applyNumberFormat="1" applyFill="1" applyBorder="1" applyAlignment="1" applyProtection="1">
      <protection locked="0"/>
    </xf>
    <xf numFmtId="183" fontId="3" fillId="27" borderId="32" xfId="79" applyNumberFormat="1" applyFont="1" applyFill="1" applyBorder="1" applyAlignment="1" applyProtection="1">
      <protection locked="0"/>
    </xf>
    <xf numFmtId="9" fontId="0" fillId="33" borderId="27" xfId="0" applyNumberFormat="1" applyFill="1" applyBorder="1" applyAlignment="1" applyProtection="1">
      <alignment horizontal="right"/>
      <protection locked="0"/>
    </xf>
    <xf numFmtId="183" fontId="3" fillId="27" borderId="27" xfId="79" applyNumberFormat="1" applyFont="1" applyFill="1" applyBorder="1" applyAlignment="1" applyProtection="1">
      <alignment horizontal="right"/>
      <protection locked="0"/>
    </xf>
    <xf numFmtId="0" fontId="47" fillId="0" borderId="57" xfId="0" applyFont="1" applyFill="1" applyBorder="1" applyAlignment="1" applyProtection="1">
      <alignment horizontal="center" vertical="center"/>
    </xf>
    <xf numFmtId="0" fontId="40" fillId="0" borderId="57" xfId="0" applyFont="1" applyFill="1" applyBorder="1" applyAlignment="1" applyProtection="1">
      <alignment vertical="center"/>
    </xf>
    <xf numFmtId="175" fontId="7" fillId="0" borderId="0" xfId="0" applyNumberFormat="1" applyFont="1" applyFill="1" applyBorder="1" applyAlignment="1" applyProtection="1">
      <alignment vertical="center"/>
      <protection hidden="1"/>
    </xf>
    <xf numFmtId="166" fontId="7" fillId="0" borderId="0" xfId="0" applyNumberFormat="1" applyFont="1" applyFill="1" applyBorder="1" applyAlignment="1" applyProtection="1">
      <alignment vertical="center"/>
      <protection hidden="1"/>
    </xf>
    <xf numFmtId="175" fontId="7" fillId="0" borderId="57" xfId="0" applyNumberFormat="1" applyFont="1" applyFill="1" applyBorder="1" applyAlignment="1" applyProtection="1">
      <alignment vertical="center"/>
      <protection hidden="1"/>
    </xf>
    <xf numFmtId="166" fontId="7" fillId="0" borderId="57" xfId="0" applyNumberFormat="1" applyFont="1" applyFill="1" applyBorder="1" applyAlignment="1" applyProtection="1">
      <alignment vertical="center"/>
      <protection hidden="1"/>
    </xf>
    <xf numFmtId="0" fontId="95" fillId="0" borderId="17" xfId="0" applyFont="1" applyFill="1" applyBorder="1" applyAlignment="1" applyProtection="1">
      <alignment horizontal="right" vertical="center"/>
    </xf>
    <xf numFmtId="0" fontId="65" fillId="0" borderId="0" xfId="66" applyFont="1" applyFill="1" applyAlignment="1" applyProtection="1">
      <alignment horizontal="center" vertical="center" wrapText="1"/>
    </xf>
    <xf numFmtId="0" fontId="77" fillId="0" borderId="0" xfId="68" applyFont="1" applyFill="1" applyBorder="1" applyAlignment="1" applyProtection="1">
      <alignment horizontal="right" vertical="center"/>
    </xf>
    <xf numFmtId="181" fontId="7" fillId="0" borderId="0" xfId="71" applyNumberFormat="1" applyFill="1" applyBorder="1" applyAlignment="1" applyProtection="1">
      <alignment horizontal="center"/>
      <protection hidden="1"/>
    </xf>
    <xf numFmtId="166" fontId="5" fillId="0" borderId="0" xfId="0" applyNumberFormat="1" applyFont="1" applyFill="1" applyBorder="1" applyAlignment="1" applyProtection="1">
      <alignment horizontal="right" vertical="center"/>
    </xf>
    <xf numFmtId="0" fontId="81" fillId="0" borderId="0" xfId="66" applyFont="1" applyFill="1" applyAlignment="1" applyProtection="1">
      <alignment horizontal="center" vertical="center" wrapText="1"/>
      <protection hidden="1"/>
    </xf>
    <xf numFmtId="4" fontId="68" fillId="0" borderId="0" xfId="0" applyNumberFormat="1" applyFont="1" applyFill="1" applyBorder="1" applyAlignment="1" applyProtection="1">
      <alignment horizontal="left" vertical="center" wrapText="1"/>
    </xf>
    <xf numFmtId="0" fontId="5" fillId="0" borderId="0" xfId="66" applyFill="1" applyBorder="1" applyAlignment="1" applyProtection="1">
      <alignment horizontal="center" vertical="center" wrapText="1"/>
    </xf>
    <xf numFmtId="0" fontId="5" fillId="0" borderId="0" xfId="66" applyFill="1" applyBorder="1" applyProtection="1">
      <alignment horizontal="center" vertical="center" wrapText="1"/>
    </xf>
    <xf numFmtId="169" fontId="0" fillId="0" borderId="0" xfId="0" applyNumberFormat="1" applyFill="1" applyBorder="1" applyAlignment="1" applyProtection="1">
      <alignment horizontal="center"/>
    </xf>
    <xf numFmtId="174" fontId="3" fillId="0" borderId="0" xfId="79" applyFill="1" applyBorder="1" applyAlignment="1" applyProtection="1">
      <alignment horizontal="center"/>
    </xf>
    <xf numFmtId="0" fontId="5" fillId="0" borderId="0" xfId="66" applyFont="1" applyFill="1" applyBorder="1" applyProtection="1">
      <alignment horizontal="center" vertical="center" wrapText="1"/>
    </xf>
    <xf numFmtId="174" fontId="3" fillId="0" borderId="0" xfId="79" applyFont="1" applyFill="1" applyBorder="1" applyAlignment="1" applyProtection="1">
      <alignment horizontal="center"/>
    </xf>
    <xf numFmtId="0" fontId="72" fillId="0" borderId="0" xfId="0" applyFont="1" applyBorder="1" applyProtection="1">
      <protection hidden="1"/>
    </xf>
    <xf numFmtId="169" fontId="0" fillId="0" borderId="0" xfId="0" applyNumberFormat="1" applyFill="1" applyBorder="1" applyAlignment="1" applyProtection="1">
      <alignment horizontal="center"/>
      <protection locked="0"/>
    </xf>
    <xf numFmtId="169" fontId="0" fillId="0" borderId="0" xfId="0" applyNumberFormat="1" applyFill="1" applyBorder="1" applyAlignment="1" applyProtection="1">
      <alignment horizontal="center" vertical="center"/>
      <protection locked="0"/>
    </xf>
    <xf numFmtId="174" fontId="3" fillId="0" borderId="0" xfId="79" applyFont="1" applyFill="1" applyBorder="1" applyAlignment="1" applyProtection="1">
      <alignment horizontal="center"/>
      <protection locked="0"/>
    </xf>
    <xf numFmtId="9" fontId="0" fillId="0" borderId="0" xfId="0" applyNumberFormat="1" applyFill="1" applyBorder="1" applyAlignment="1" applyProtection="1">
      <protection locked="0"/>
    </xf>
    <xf numFmtId="183" fontId="3" fillId="0" borderId="0" xfId="79" applyNumberFormat="1" applyFont="1" applyFill="1" applyBorder="1" applyAlignment="1" applyProtection="1">
      <protection locked="0"/>
    </xf>
    <xf numFmtId="180" fontId="7" fillId="0" borderId="0" xfId="69" applyNumberFormat="1" applyFill="1" applyBorder="1" applyAlignment="1" applyProtection="1">
      <alignment horizontal="center"/>
      <protection hidden="1"/>
    </xf>
    <xf numFmtId="1" fontId="7" fillId="0" borderId="0" xfId="71" applyNumberFormat="1" applyFill="1" applyBorder="1" applyAlignment="1" applyProtection="1">
      <alignment horizontal="center"/>
      <protection hidden="1"/>
    </xf>
    <xf numFmtId="166" fontId="7" fillId="0" borderId="34" xfId="0" applyNumberFormat="1" applyFont="1" applyFill="1" applyBorder="1" applyAlignment="1" applyProtection="1">
      <alignment vertical="center"/>
      <protection hidden="1"/>
    </xf>
    <xf numFmtId="166" fontId="7" fillId="0" borderId="24" xfId="0" applyNumberFormat="1" applyFont="1" applyFill="1" applyBorder="1" applyAlignment="1" applyProtection="1">
      <alignment vertical="center"/>
      <protection hidden="1"/>
    </xf>
    <xf numFmtId="180" fontId="3" fillId="0" borderId="0" xfId="69" applyNumberFormat="1" applyFont="1" applyFill="1" applyBorder="1" applyAlignment="1" applyProtection="1">
      <alignment horizontal="center"/>
      <protection hidden="1"/>
    </xf>
    <xf numFmtId="166" fontId="7" fillId="0" borderId="20" xfId="0" applyNumberFormat="1" applyFont="1" applyFill="1" applyBorder="1" applyAlignment="1" applyProtection="1">
      <alignment vertical="center"/>
      <protection hidden="1"/>
    </xf>
    <xf numFmtId="166" fontId="7" fillId="0" borderId="35" xfId="0" applyNumberFormat="1" applyFont="1" applyFill="1" applyBorder="1" applyAlignment="1" applyProtection="1">
      <alignment vertical="center"/>
      <protection hidden="1"/>
    </xf>
    <xf numFmtId="166" fontId="72" fillId="0" borderId="21" xfId="0" applyNumberFormat="1" applyFont="1" applyFill="1" applyBorder="1" applyAlignment="1" applyProtection="1">
      <alignment vertical="center"/>
    </xf>
    <xf numFmtId="166" fontId="72" fillId="0" borderId="22" xfId="0" applyNumberFormat="1" applyFont="1" applyFill="1" applyBorder="1" applyAlignment="1" applyProtection="1">
      <alignment vertical="center"/>
    </xf>
    <xf numFmtId="0" fontId="3" fillId="0" borderId="14" xfId="67" applyFont="1" applyFill="1" applyBorder="1" applyAlignment="1" applyProtection="1">
      <alignment horizontal="left" vertical="center"/>
      <protection hidden="1"/>
    </xf>
    <xf numFmtId="0" fontId="3" fillId="0" borderId="0" xfId="67" applyFont="1" applyFill="1" applyBorder="1" applyAlignment="1" applyProtection="1">
      <alignment horizontal="left" vertical="center"/>
      <protection hidden="1"/>
    </xf>
    <xf numFmtId="179" fontId="7" fillId="0" borderId="0" xfId="69" applyNumberFormat="1" applyFont="1" applyFill="1" applyBorder="1" applyAlignment="1" applyProtection="1">
      <alignment vertical="center"/>
      <protection locked="0"/>
    </xf>
    <xf numFmtId="181" fontId="73" fillId="0" borderId="0" xfId="71" applyNumberFormat="1" applyFont="1" applyFill="1" applyBorder="1" applyAlignment="1" applyProtection="1">
      <alignment vertical="center"/>
      <protection hidden="1"/>
    </xf>
    <xf numFmtId="182" fontId="7" fillId="0" borderId="0" xfId="71" quotePrefix="1" applyNumberFormat="1" applyFont="1" applyFill="1" applyBorder="1" applyAlignment="1" applyProtection="1">
      <alignment vertical="center"/>
      <protection locked="0"/>
    </xf>
    <xf numFmtId="179" fontId="7" fillId="0" borderId="0" xfId="71" applyNumberFormat="1" applyFont="1" applyFill="1" applyBorder="1" applyAlignment="1" applyProtection="1">
      <alignment vertical="center"/>
      <protection hidden="1"/>
    </xf>
    <xf numFmtId="185" fontId="7" fillId="30" borderId="25" xfId="0" applyNumberFormat="1" applyFont="1" applyFill="1" applyBorder="1" applyAlignment="1" applyProtection="1">
      <alignment vertical="center"/>
      <protection hidden="1"/>
    </xf>
    <xf numFmtId="185" fontId="7" fillId="30" borderId="6" xfId="0" applyNumberFormat="1" applyFont="1" applyFill="1" applyBorder="1" applyAlignment="1" applyProtection="1">
      <alignment vertical="center"/>
      <protection hidden="1"/>
    </xf>
    <xf numFmtId="185" fontId="3" fillId="30" borderId="6" xfId="0" applyNumberFormat="1" applyFont="1" applyFill="1" applyBorder="1" applyAlignment="1" applyProtection="1">
      <alignment vertical="center"/>
      <protection hidden="1"/>
    </xf>
    <xf numFmtId="167" fontId="7" fillId="0" borderId="0" xfId="0" applyNumberFormat="1" applyFont="1" applyFill="1" applyBorder="1" applyAlignment="1" applyProtection="1">
      <alignment vertical="center"/>
    </xf>
    <xf numFmtId="167" fontId="7" fillId="0" borderId="0" xfId="0" applyNumberFormat="1" applyFont="1" applyFill="1" applyBorder="1" applyAlignment="1" applyProtection="1">
      <alignment vertical="center"/>
      <protection hidden="1"/>
    </xf>
    <xf numFmtId="167" fontId="7" fillId="0" borderId="36" xfId="0" applyNumberFormat="1" applyFont="1" applyFill="1" applyBorder="1" applyAlignment="1" applyProtection="1">
      <alignment vertical="center"/>
      <protection hidden="1"/>
    </xf>
    <xf numFmtId="167" fontId="7" fillId="0" borderId="4" xfId="0" applyNumberFormat="1" applyFont="1" applyFill="1" applyBorder="1" applyAlignment="1" applyProtection="1">
      <alignment vertical="center"/>
      <protection hidden="1"/>
    </xf>
    <xf numFmtId="167" fontId="7" fillId="0" borderId="35" xfId="0" applyNumberFormat="1" applyFont="1" applyFill="1" applyBorder="1" applyAlignment="1" applyProtection="1">
      <alignment vertical="center"/>
      <protection hidden="1"/>
    </xf>
    <xf numFmtId="167" fontId="7" fillId="0" borderId="57" xfId="0" applyNumberFormat="1" applyFont="1" applyFill="1" applyBorder="1" applyAlignment="1" applyProtection="1">
      <alignment vertical="center"/>
      <protection hidden="1"/>
    </xf>
    <xf numFmtId="0" fontId="0" fillId="0" borderId="20" xfId="0" applyBorder="1"/>
    <xf numFmtId="175" fontId="72" fillId="0" borderId="57" xfId="0" applyNumberFormat="1" applyFont="1" applyFill="1" applyBorder="1" applyAlignment="1" applyProtection="1">
      <alignment vertical="center"/>
      <protection hidden="1"/>
    </xf>
    <xf numFmtId="0" fontId="101" fillId="0" borderId="57" xfId="0" applyFont="1" applyFill="1" applyBorder="1" applyAlignment="1" applyProtection="1">
      <alignment horizontal="center" vertical="center"/>
    </xf>
    <xf numFmtId="166" fontId="72" fillId="0" borderId="57" xfId="0" applyNumberFormat="1" applyFont="1" applyFill="1" applyBorder="1" applyAlignment="1" applyProtection="1">
      <alignment vertical="center"/>
      <protection hidden="1"/>
    </xf>
    <xf numFmtId="175" fontId="72" fillId="0" borderId="0" xfId="0" applyNumberFormat="1" applyFont="1" applyFill="1" applyBorder="1" applyAlignment="1" applyProtection="1">
      <alignment vertical="center"/>
      <protection hidden="1"/>
    </xf>
    <xf numFmtId="0" fontId="101" fillId="0" borderId="0" xfId="0" applyFont="1" applyFill="1" applyBorder="1" applyAlignment="1" applyProtection="1">
      <alignment horizontal="center" vertical="center"/>
    </xf>
    <xf numFmtId="166" fontId="72" fillId="0" borderId="0" xfId="0" applyNumberFormat="1" applyFont="1" applyFill="1" applyBorder="1" applyAlignment="1" applyProtection="1">
      <alignment vertical="center"/>
      <protection hidden="1"/>
    </xf>
    <xf numFmtId="176" fontId="72" fillId="0" borderId="0" xfId="0" applyNumberFormat="1" applyFont="1" applyFill="1" applyBorder="1" applyAlignment="1" applyProtection="1">
      <alignment vertical="center"/>
      <protection hidden="1"/>
    </xf>
    <xf numFmtId="49" fontId="3" fillId="33" borderId="20" xfId="79" applyNumberFormat="1" applyFont="1" applyFill="1" applyBorder="1" applyAlignment="1" applyProtection="1">
      <alignment horizontal="left"/>
      <protection locked="0"/>
    </xf>
    <xf numFmtId="0" fontId="72" fillId="0" borderId="0" xfId="0" applyFont="1" applyAlignment="1" applyProtection="1">
      <alignment horizontal="center"/>
      <protection hidden="1"/>
    </xf>
    <xf numFmtId="0" fontId="102" fillId="0" borderId="0" xfId="0" applyFont="1" applyAlignment="1" applyProtection="1">
      <alignment horizontal="left" vertical="center" wrapText="1"/>
    </xf>
    <xf numFmtId="0" fontId="100" fillId="0" borderId="0" xfId="0" applyFont="1" applyAlignment="1" applyProtection="1">
      <alignment horizontal="center" vertical="center" wrapText="1"/>
    </xf>
    <xf numFmtId="0" fontId="72" fillId="0" borderId="0" xfId="0" applyFont="1" applyAlignment="1" applyProtection="1">
      <alignment horizontal="center"/>
    </xf>
    <xf numFmtId="0" fontId="3" fillId="0" borderId="35" xfId="58" applyFont="1" applyBorder="1" applyAlignment="1">
      <alignment horizontal="left" vertical="center" wrapText="1"/>
    </xf>
    <xf numFmtId="0" fontId="3" fillId="0" borderId="57" xfId="58" applyFont="1" applyBorder="1" applyAlignment="1">
      <alignment horizontal="left" vertical="center" wrapText="1"/>
    </xf>
    <xf numFmtId="0" fontId="3" fillId="0" borderId="21" xfId="58" applyFont="1" applyBorder="1" applyAlignment="1">
      <alignment horizontal="left" vertical="center" wrapText="1"/>
    </xf>
    <xf numFmtId="0" fontId="3" fillId="0" borderId="20" xfId="58" applyFont="1" applyBorder="1" applyAlignment="1">
      <alignment horizontal="left" vertical="center" wrapText="1"/>
    </xf>
    <xf numFmtId="0" fontId="3" fillId="0" borderId="0" xfId="58" applyFont="1" applyBorder="1" applyAlignment="1">
      <alignment horizontal="left" vertical="center" wrapText="1"/>
    </xf>
    <xf numFmtId="0" fontId="3" fillId="0" borderId="22" xfId="58" applyFont="1" applyBorder="1" applyAlignment="1">
      <alignment horizontal="left" vertical="center" wrapText="1"/>
    </xf>
    <xf numFmtId="0" fontId="3" fillId="0" borderId="36" xfId="58" applyFont="1" applyBorder="1" applyAlignment="1">
      <alignment horizontal="left" vertical="center" wrapText="1"/>
    </xf>
    <xf numFmtId="0" fontId="3" fillId="0" borderId="4" xfId="58" applyFont="1" applyBorder="1" applyAlignment="1">
      <alignment horizontal="left" vertical="center" wrapText="1"/>
    </xf>
    <xf numFmtId="0" fontId="3" fillId="0" borderId="37" xfId="58" applyFont="1" applyBorder="1" applyAlignment="1">
      <alignment horizontal="left" vertical="center" wrapText="1"/>
    </xf>
    <xf numFmtId="0" fontId="3" fillId="0" borderId="35" xfId="58" applyFont="1" applyBorder="1" applyAlignment="1" applyProtection="1">
      <alignment horizontal="left" vertical="center" wrapText="1"/>
    </xf>
    <xf numFmtId="0" fontId="3" fillId="0" borderId="57" xfId="58" applyFont="1" applyBorder="1" applyAlignment="1" applyProtection="1">
      <alignment horizontal="left" vertical="center" wrapText="1"/>
    </xf>
    <xf numFmtId="0" fontId="3" fillId="0" borderId="20" xfId="58" applyFont="1" applyBorder="1" applyAlignment="1" applyProtection="1">
      <alignment horizontal="left" vertical="center" wrapText="1"/>
    </xf>
    <xf numFmtId="0" fontId="3" fillId="0" borderId="0" xfId="58" applyFont="1" applyBorder="1" applyAlignment="1" applyProtection="1">
      <alignment horizontal="left" vertical="center" wrapText="1"/>
    </xf>
    <xf numFmtId="0" fontId="3" fillId="0" borderId="36" xfId="58" applyFont="1" applyBorder="1" applyAlignment="1" applyProtection="1">
      <alignment horizontal="left" vertical="center" wrapText="1"/>
    </xf>
    <xf numFmtId="0" fontId="3" fillId="0" borderId="4" xfId="58" applyFont="1" applyBorder="1" applyAlignment="1" applyProtection="1">
      <alignment horizontal="left" vertical="center" wrapText="1"/>
    </xf>
    <xf numFmtId="0" fontId="73" fillId="0" borderId="35" xfId="58" applyFont="1" applyBorder="1" applyAlignment="1">
      <alignment horizontal="left" vertical="center" wrapText="1"/>
    </xf>
    <xf numFmtId="0" fontId="73" fillId="0" borderId="57" xfId="58" applyFont="1" applyBorder="1" applyAlignment="1">
      <alignment horizontal="left" vertical="center" wrapText="1"/>
    </xf>
    <xf numFmtId="0" fontId="73" fillId="0" borderId="20" xfId="58" applyFont="1" applyBorder="1" applyAlignment="1">
      <alignment horizontal="left" vertical="center" wrapText="1"/>
    </xf>
    <xf numFmtId="0" fontId="73" fillId="0" borderId="0" xfId="58" applyFont="1" applyBorder="1" applyAlignment="1">
      <alignment horizontal="left" vertical="center" wrapText="1"/>
    </xf>
    <xf numFmtId="0" fontId="73" fillId="0" borderId="36" xfId="58" applyFont="1" applyBorder="1" applyAlignment="1">
      <alignment horizontal="left" vertical="center" wrapText="1"/>
    </xf>
    <xf numFmtId="0" fontId="73" fillId="0" borderId="4" xfId="58" applyFont="1" applyBorder="1" applyAlignment="1">
      <alignment horizontal="left" vertical="center" wrapText="1"/>
    </xf>
    <xf numFmtId="0" fontId="3" fillId="29" borderId="35" xfId="0" applyFont="1" applyFill="1" applyBorder="1" applyAlignment="1" applyProtection="1">
      <alignment horizontal="center" vertical="center" wrapText="1"/>
    </xf>
    <xf numFmtId="0" fontId="3" fillId="29" borderId="57" xfId="0" applyFont="1" applyFill="1" applyBorder="1" applyAlignment="1" applyProtection="1">
      <alignment horizontal="center" vertical="center" wrapText="1"/>
    </xf>
    <xf numFmtId="0" fontId="3" fillId="29" borderId="21" xfId="0" applyFont="1" applyFill="1" applyBorder="1" applyAlignment="1" applyProtection="1">
      <alignment horizontal="center" vertical="center" wrapText="1"/>
    </xf>
    <xf numFmtId="0" fontId="3" fillId="29" borderId="20" xfId="0" applyFont="1" applyFill="1" applyBorder="1" applyAlignment="1" applyProtection="1">
      <alignment horizontal="center" vertical="center" wrapText="1"/>
    </xf>
    <xf numFmtId="0" fontId="3" fillId="29" borderId="0" xfId="0" applyFont="1" applyFill="1" applyBorder="1" applyAlignment="1" applyProtection="1">
      <alignment horizontal="center" vertical="center" wrapText="1"/>
    </xf>
    <xf numFmtId="0" fontId="3" fillId="29" borderId="22" xfId="0" applyFont="1" applyFill="1" applyBorder="1" applyAlignment="1" applyProtection="1">
      <alignment horizontal="center" vertical="center" wrapText="1"/>
    </xf>
    <xf numFmtId="168" fontId="61" fillId="34" borderId="72" xfId="76" applyFont="1" applyFill="1" applyBorder="1" applyAlignment="1" applyProtection="1">
      <alignment horizontal="center" vertical="center"/>
      <protection locked="0"/>
    </xf>
    <xf numFmtId="168" fontId="61" fillId="34" borderId="38" xfId="76" applyFont="1" applyFill="1" applyBorder="1" applyAlignment="1" applyProtection="1">
      <alignment horizontal="center" vertical="center"/>
      <protection locked="0"/>
    </xf>
    <xf numFmtId="0" fontId="5" fillId="34" borderId="5" xfId="0" applyFont="1" applyFill="1" applyBorder="1" applyAlignment="1" applyProtection="1">
      <alignment horizontal="center" vertical="center" wrapText="1"/>
    </xf>
    <xf numFmtId="0" fontId="5" fillId="34" borderId="62" xfId="0" applyFont="1" applyFill="1" applyBorder="1" applyAlignment="1" applyProtection="1">
      <alignment horizontal="center" vertical="center" wrapText="1"/>
    </xf>
    <xf numFmtId="0" fontId="5" fillId="34" borderId="4" xfId="0" applyFont="1" applyFill="1" applyBorder="1" applyAlignment="1" applyProtection="1">
      <alignment horizontal="center" vertical="center" wrapText="1"/>
    </xf>
    <xf numFmtId="0" fontId="5" fillId="34" borderId="73" xfId="0" applyFont="1" applyFill="1" applyBorder="1" applyAlignment="1" applyProtection="1">
      <alignment horizontal="center" vertical="center" wrapText="1"/>
    </xf>
    <xf numFmtId="0" fontId="62" fillId="33" borderId="72" xfId="0" applyFont="1" applyFill="1" applyBorder="1" applyAlignment="1" applyProtection="1">
      <alignment horizontal="center" vertical="center"/>
      <protection locked="0"/>
    </xf>
    <xf numFmtId="0" fontId="62" fillId="33" borderId="14" xfId="0" applyFont="1" applyFill="1" applyBorder="1" applyAlignment="1" applyProtection="1">
      <alignment horizontal="center" vertical="center"/>
      <protection locked="0"/>
    </xf>
    <xf numFmtId="0" fontId="62" fillId="33" borderId="16" xfId="0" applyFont="1" applyFill="1" applyBorder="1" applyAlignment="1" applyProtection="1">
      <alignment horizontal="center" vertical="center"/>
      <protection locked="0"/>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5" fillId="34" borderId="5" xfId="0" applyFont="1" applyFill="1" applyBorder="1" applyAlignment="1" applyProtection="1">
      <alignment horizontal="center" vertical="center"/>
    </xf>
    <xf numFmtId="0" fontId="5" fillId="34" borderId="62" xfId="0" applyFont="1" applyFill="1" applyBorder="1" applyAlignment="1" applyProtection="1">
      <alignment horizontal="center" vertical="center"/>
    </xf>
    <xf numFmtId="0" fontId="5" fillId="34" borderId="4" xfId="0" applyFont="1" applyFill="1" applyBorder="1" applyAlignment="1" applyProtection="1">
      <alignment horizontal="center" vertical="center"/>
    </xf>
    <xf numFmtId="0" fontId="5" fillId="34" borderId="73" xfId="0" applyFont="1" applyFill="1" applyBorder="1" applyAlignment="1" applyProtection="1">
      <alignment horizontal="center" vertical="center"/>
    </xf>
    <xf numFmtId="0" fontId="5" fillId="34" borderId="42" xfId="0" applyFont="1" applyFill="1" applyBorder="1" applyAlignment="1" applyProtection="1">
      <alignment horizontal="center" vertical="center"/>
    </xf>
    <xf numFmtId="0" fontId="5" fillId="34" borderId="50" xfId="0" applyFont="1" applyFill="1" applyBorder="1" applyAlignment="1" applyProtection="1">
      <alignment horizontal="center" vertical="center"/>
    </xf>
    <xf numFmtId="0" fontId="5" fillId="34" borderId="18" xfId="0" applyFont="1" applyFill="1" applyBorder="1" applyAlignment="1" applyProtection="1">
      <alignment horizontal="center" vertical="center"/>
    </xf>
    <xf numFmtId="0" fontId="5" fillId="34" borderId="51" xfId="0" applyFont="1" applyFill="1" applyBorder="1" applyAlignment="1" applyProtection="1">
      <alignment horizontal="center" vertical="center"/>
    </xf>
    <xf numFmtId="168" fontId="61" fillId="34" borderId="40" xfId="76" applyFont="1" applyFill="1" applyBorder="1" applyAlignment="1" applyProtection="1">
      <alignment horizontal="center" vertical="center"/>
      <protection locked="0"/>
    </xf>
    <xf numFmtId="168" fontId="61" fillId="34" borderId="56" xfId="76" applyFont="1" applyFill="1" applyBorder="1" applyAlignment="1" applyProtection="1">
      <alignment horizontal="center" vertical="center"/>
      <protection locked="0"/>
    </xf>
    <xf numFmtId="0" fontId="3" fillId="0" borderId="35" xfId="58" applyFont="1" applyFill="1" applyBorder="1" applyAlignment="1" applyProtection="1">
      <alignment horizontal="left" vertical="center" wrapText="1"/>
    </xf>
    <xf numFmtId="0" fontId="3" fillId="0" borderId="57" xfId="58" applyFont="1" applyFill="1" applyBorder="1" applyAlignment="1" applyProtection="1">
      <alignment horizontal="left" vertical="center" wrapText="1"/>
    </xf>
    <xf numFmtId="0" fontId="3" fillId="0" borderId="20" xfId="58" applyFont="1" applyFill="1" applyBorder="1" applyAlignment="1" applyProtection="1">
      <alignment horizontal="left" vertical="center" wrapText="1"/>
    </xf>
    <xf numFmtId="0" fontId="3" fillId="0" borderId="0" xfId="58" applyFont="1" applyFill="1" applyBorder="1" applyAlignment="1" applyProtection="1">
      <alignment horizontal="left" vertical="center" wrapText="1"/>
    </xf>
    <xf numFmtId="0" fontId="3" fillId="0" borderId="36" xfId="58" applyFont="1" applyFill="1" applyBorder="1" applyAlignment="1" applyProtection="1">
      <alignment horizontal="left" vertical="center" wrapText="1"/>
    </xf>
    <xf numFmtId="0" fontId="3" fillId="0" borderId="4" xfId="58" applyFont="1" applyFill="1" applyBorder="1" applyAlignment="1" applyProtection="1">
      <alignment horizontal="left" vertical="center" wrapText="1"/>
    </xf>
    <xf numFmtId="0" fontId="3" fillId="0" borderId="86" xfId="58" applyFont="1" applyBorder="1" applyAlignment="1">
      <alignment horizontal="left" vertical="center" wrapText="1"/>
    </xf>
    <xf numFmtId="0" fontId="3" fillId="0" borderId="82" xfId="58" applyFont="1" applyBorder="1" applyAlignment="1">
      <alignment horizontal="left" vertical="center" wrapText="1"/>
    </xf>
    <xf numFmtId="0" fontId="3" fillId="0" borderId="87" xfId="58" applyFont="1" applyBorder="1" applyAlignment="1">
      <alignment horizontal="left" vertical="center" wrapText="1"/>
    </xf>
    <xf numFmtId="0" fontId="3" fillId="0" borderId="88" xfId="58" applyFont="1" applyBorder="1" applyAlignment="1">
      <alignment horizontal="left" vertical="center" wrapText="1"/>
    </xf>
    <xf numFmtId="0" fontId="3" fillId="0" borderId="79" xfId="58" applyFont="1" applyBorder="1" applyAlignment="1">
      <alignment horizontal="left" vertical="center" wrapText="1"/>
    </xf>
    <xf numFmtId="0" fontId="3" fillId="0" borderId="57" xfId="0" applyFont="1" applyBorder="1" applyAlignment="1">
      <alignment horizontal="center"/>
    </xf>
    <xf numFmtId="0" fontId="3" fillId="0" borderId="72" xfId="58" applyFont="1" applyBorder="1" applyAlignment="1" applyProtection="1">
      <alignment horizontal="left" vertical="center" wrapText="1"/>
    </xf>
    <xf numFmtId="0" fontId="3" fillId="0" borderId="5" xfId="58" applyFont="1" applyBorder="1" applyAlignment="1" applyProtection="1">
      <alignment horizontal="left" vertical="center" wrapText="1"/>
    </xf>
    <xf numFmtId="0" fontId="3" fillId="0" borderId="14" xfId="58" applyFont="1" applyBorder="1" applyAlignment="1" applyProtection="1">
      <alignment horizontal="left" vertical="center" wrapText="1"/>
    </xf>
    <xf numFmtId="0" fontId="3" fillId="0" borderId="16" xfId="58" applyFont="1" applyBorder="1" applyAlignment="1" applyProtection="1">
      <alignment horizontal="left" vertical="center" wrapText="1"/>
    </xf>
    <xf numFmtId="0" fontId="3" fillId="0" borderId="17" xfId="58" applyFont="1" applyBorder="1" applyAlignment="1" applyProtection="1">
      <alignment horizontal="left" vertical="center" wrapText="1"/>
    </xf>
    <xf numFmtId="0" fontId="3" fillId="0" borderId="0" xfId="0" applyFont="1" applyAlignment="1" applyProtection="1">
      <alignment horizontal="right"/>
    </xf>
    <xf numFmtId="0" fontId="3" fillId="0" borderId="22" xfId="0" applyFont="1" applyBorder="1" applyAlignment="1" applyProtection="1">
      <alignment horizontal="right"/>
    </xf>
    <xf numFmtId="0" fontId="3" fillId="0" borderId="89" xfId="58" applyFont="1" applyBorder="1" applyAlignment="1">
      <alignment horizontal="left" vertical="center" wrapText="1"/>
    </xf>
    <xf numFmtId="0" fontId="3" fillId="0" borderId="90" xfId="58" applyFont="1" applyBorder="1" applyAlignment="1">
      <alignment horizontal="left" vertical="center" wrapText="1"/>
    </xf>
    <xf numFmtId="0" fontId="3" fillId="0" borderId="91" xfId="58" applyFont="1" applyBorder="1" applyAlignment="1">
      <alignment horizontal="left" vertical="center" wrapText="1"/>
    </xf>
    <xf numFmtId="0" fontId="3" fillId="0" borderId="92" xfId="58" applyFont="1" applyBorder="1" applyAlignment="1">
      <alignment horizontal="left" vertical="center" wrapText="1"/>
    </xf>
    <xf numFmtId="0" fontId="3" fillId="0" borderId="93" xfId="58" applyFont="1" applyBorder="1" applyAlignment="1">
      <alignment horizontal="left" vertical="center" wrapText="1"/>
    </xf>
    <xf numFmtId="0" fontId="3" fillId="0" borderId="94" xfId="58" applyFont="1" applyBorder="1" applyAlignment="1">
      <alignment horizontal="left" vertical="center" wrapText="1"/>
    </xf>
    <xf numFmtId="0" fontId="3" fillId="0" borderId="95" xfId="58" applyFont="1" applyBorder="1" applyAlignment="1">
      <alignment horizontal="left" vertical="center" wrapText="1"/>
    </xf>
    <xf numFmtId="0" fontId="3" fillId="0" borderId="96" xfId="58" applyFont="1" applyBorder="1" applyAlignment="1">
      <alignment horizontal="left" vertical="center" wrapText="1"/>
    </xf>
    <xf numFmtId="0" fontId="92" fillId="0" borderId="14" xfId="58" applyFont="1" applyFill="1" applyBorder="1" applyAlignment="1" applyProtection="1">
      <alignment horizontal="center" vertical="center" wrapText="1"/>
    </xf>
    <xf numFmtId="0" fontId="3" fillId="0" borderId="56" xfId="67" applyFont="1" applyFill="1" applyBorder="1" applyAlignment="1" applyProtection="1">
      <alignment horizontal="left" vertical="center"/>
    </xf>
    <xf numFmtId="0" fontId="3" fillId="0" borderId="32" xfId="67" applyFont="1" applyFill="1" applyBorder="1" applyAlignment="1" applyProtection="1">
      <alignment horizontal="left" vertical="center"/>
    </xf>
    <xf numFmtId="0" fontId="8" fillId="0" borderId="16" xfId="0" applyFont="1" applyFill="1" applyBorder="1" applyAlignment="1" applyProtection="1">
      <alignment horizontal="left"/>
    </xf>
    <xf numFmtId="0" fontId="8" fillId="0" borderId="17" xfId="0" applyFont="1" applyFill="1" applyBorder="1" applyAlignment="1" applyProtection="1">
      <alignment horizontal="left"/>
    </xf>
    <xf numFmtId="0" fontId="8" fillId="0" borderId="15" xfId="0" applyFont="1" applyFill="1" applyBorder="1" applyAlignment="1" applyProtection="1">
      <alignment horizontal="left"/>
    </xf>
    <xf numFmtId="0" fontId="3" fillId="0" borderId="16" xfId="67" applyFont="1" applyFill="1" applyBorder="1" applyAlignment="1" applyProtection="1">
      <alignment horizontal="left" vertical="center"/>
    </xf>
    <xf numFmtId="0" fontId="3" fillId="0" borderId="17" xfId="67" applyFont="1" applyFill="1" applyBorder="1" applyAlignment="1" applyProtection="1">
      <alignment horizontal="left" vertical="center"/>
    </xf>
    <xf numFmtId="0" fontId="3" fillId="0" borderId="15" xfId="67" applyFont="1" applyFill="1" applyBorder="1" applyAlignment="1" applyProtection="1">
      <alignment horizontal="left" vertical="center"/>
    </xf>
    <xf numFmtId="0" fontId="3" fillId="0" borderId="38" xfId="67" applyFont="1" applyFill="1" applyBorder="1" applyAlignment="1" applyProtection="1">
      <alignment horizontal="left" vertical="center"/>
    </xf>
    <xf numFmtId="0" fontId="3" fillId="0" borderId="4" xfId="67" applyFont="1" applyFill="1" applyBorder="1" applyAlignment="1" applyProtection="1">
      <alignment horizontal="left" vertical="center"/>
    </xf>
    <xf numFmtId="0" fontId="3" fillId="0" borderId="37" xfId="67" applyFont="1" applyFill="1" applyBorder="1" applyAlignment="1" applyProtection="1">
      <alignment horizontal="left" vertical="center"/>
    </xf>
    <xf numFmtId="166" fontId="69" fillId="0" borderId="14" xfId="0" applyNumberFormat="1" applyFont="1" applyFill="1" applyBorder="1" applyAlignment="1" applyProtection="1">
      <alignment horizontal="right" vertical="center"/>
    </xf>
    <xf numFmtId="166" fontId="69" fillId="0" borderId="22" xfId="0" applyNumberFormat="1" applyFont="1" applyFill="1" applyBorder="1" applyAlignment="1" applyProtection="1">
      <alignment horizontal="right" vertical="center"/>
    </xf>
    <xf numFmtId="166" fontId="66" fillId="0" borderId="5" xfId="0" applyNumberFormat="1" applyFont="1" applyFill="1" applyBorder="1" applyAlignment="1" applyProtection="1">
      <alignment horizontal="right" vertical="center"/>
    </xf>
    <xf numFmtId="166" fontId="66" fillId="0" borderId="74" xfId="0" applyNumberFormat="1" applyFont="1" applyFill="1" applyBorder="1" applyAlignment="1" applyProtection="1">
      <alignment horizontal="right" vertical="center"/>
    </xf>
    <xf numFmtId="0" fontId="66" fillId="0" borderId="72" xfId="68" applyFont="1" applyFill="1" applyBorder="1" applyAlignment="1" applyProtection="1">
      <alignment horizontal="left" vertical="center"/>
    </xf>
    <xf numFmtId="0" fontId="66" fillId="0" borderId="5" xfId="68" applyFont="1" applyFill="1" applyBorder="1" applyAlignment="1" applyProtection="1">
      <alignment horizontal="left" vertical="center"/>
    </xf>
    <xf numFmtId="0" fontId="66" fillId="0" borderId="62" xfId="68" applyFont="1" applyFill="1" applyBorder="1" applyAlignment="1" applyProtection="1">
      <alignment horizontal="left" vertical="center"/>
    </xf>
    <xf numFmtId="0" fontId="3" fillId="0" borderId="38" xfId="67" applyFont="1" applyFill="1" applyBorder="1" applyAlignment="1" applyProtection="1">
      <alignment horizontal="left" vertical="center"/>
      <protection hidden="1"/>
    </xf>
    <xf numFmtId="0" fontId="3" fillId="0" borderId="37" xfId="67" applyFont="1" applyFill="1" applyBorder="1" applyAlignment="1" applyProtection="1">
      <alignment horizontal="left" vertical="center"/>
      <protection hidden="1"/>
    </xf>
    <xf numFmtId="0" fontId="65" fillId="0" borderId="14" xfId="68" applyFont="1" applyFill="1" applyBorder="1" applyAlignment="1" applyProtection="1">
      <alignment horizontal="left" vertical="center"/>
    </xf>
    <xf numFmtId="0" fontId="65" fillId="0" borderId="0" xfId="68" applyFont="1" applyFill="1" applyBorder="1" applyAlignment="1" applyProtection="1">
      <alignment horizontal="left" vertical="center"/>
    </xf>
    <xf numFmtId="0" fontId="65" fillId="0" borderId="13" xfId="68" applyFont="1" applyFill="1" applyBorder="1" applyAlignment="1" applyProtection="1">
      <alignment horizontal="left" vertical="center"/>
    </xf>
    <xf numFmtId="0" fontId="3" fillId="0" borderId="56" xfId="67" applyFont="1" applyFill="1" applyBorder="1" applyAlignment="1" applyProtection="1">
      <alignment horizontal="left" vertical="center"/>
      <protection hidden="1"/>
    </xf>
    <xf numFmtId="0" fontId="3" fillId="0" borderId="32" xfId="67" applyFont="1" applyFill="1" applyBorder="1" applyAlignment="1" applyProtection="1">
      <alignment horizontal="left" vertical="center"/>
      <protection hidden="1"/>
    </xf>
    <xf numFmtId="166" fontId="65" fillId="0" borderId="33" xfId="0" applyNumberFormat="1" applyFont="1" applyFill="1" applyBorder="1" applyAlignment="1" applyProtection="1">
      <alignment horizontal="right" vertical="center"/>
    </xf>
    <xf numFmtId="166" fontId="65" fillId="0" borderId="21" xfId="0" applyNumberFormat="1" applyFont="1" applyFill="1" applyBorder="1" applyAlignment="1" applyProtection="1">
      <alignment horizontal="right" vertical="center"/>
    </xf>
    <xf numFmtId="166" fontId="66" fillId="0" borderId="0" xfId="0" applyNumberFormat="1" applyFont="1" applyFill="1" applyBorder="1" applyAlignment="1" applyProtection="1">
      <alignment horizontal="right" vertical="center"/>
    </xf>
    <xf numFmtId="166" fontId="66" fillId="0" borderId="22" xfId="0" applyNumberFormat="1" applyFont="1" applyFill="1" applyBorder="1" applyAlignment="1" applyProtection="1">
      <alignment horizontal="right" vertical="center"/>
    </xf>
    <xf numFmtId="166" fontId="3" fillId="30" borderId="27" xfId="0" applyNumberFormat="1" applyFont="1" applyFill="1" applyBorder="1" applyAlignment="1" applyProtection="1">
      <alignment horizontal="right" vertical="center"/>
      <protection hidden="1"/>
    </xf>
    <xf numFmtId="166" fontId="3" fillId="30" borderId="32" xfId="0" applyNumberFormat="1" applyFont="1" applyFill="1" applyBorder="1" applyAlignment="1" applyProtection="1">
      <alignment horizontal="right" vertical="center"/>
      <protection hidden="1"/>
    </xf>
    <xf numFmtId="180" fontId="3" fillId="0" borderId="4" xfId="69" applyNumberFormat="1" applyFont="1" applyFill="1" applyBorder="1" applyAlignment="1" applyProtection="1">
      <alignment horizontal="center"/>
      <protection hidden="1"/>
    </xf>
    <xf numFmtId="180" fontId="7" fillId="0" borderId="4" xfId="69" applyNumberFormat="1" applyFill="1" applyBorder="1" applyAlignment="1" applyProtection="1">
      <alignment horizontal="center"/>
      <protection hidden="1"/>
    </xf>
    <xf numFmtId="0" fontId="3" fillId="0" borderId="18" xfId="67" applyFont="1" applyFill="1" applyBorder="1" applyAlignment="1" applyProtection="1">
      <alignment horizontal="left" vertical="center"/>
    </xf>
    <xf numFmtId="181" fontId="7" fillId="0" borderId="4" xfId="71" applyNumberFormat="1" applyFill="1" applyBorder="1" applyAlignment="1" applyProtection="1">
      <alignment horizontal="center"/>
      <protection hidden="1"/>
    </xf>
    <xf numFmtId="0" fontId="40" fillId="0" borderId="33" xfId="0" applyFont="1" applyFill="1" applyBorder="1" applyAlignment="1" applyProtection="1">
      <alignment horizontal="right" vertical="center"/>
    </xf>
    <xf numFmtId="0" fontId="40" fillId="0" borderId="21" xfId="0" applyFont="1" applyFill="1" applyBorder="1" applyAlignment="1" applyProtection="1">
      <alignment horizontal="right" vertical="center"/>
    </xf>
    <xf numFmtId="0" fontId="40" fillId="0" borderId="14" xfId="0" applyFont="1" applyFill="1" applyBorder="1" applyAlignment="1" applyProtection="1">
      <alignment horizontal="right" vertical="center"/>
    </xf>
    <xf numFmtId="0" fontId="40" fillId="0" borderId="22" xfId="0" applyFont="1" applyFill="1" applyBorder="1" applyAlignment="1" applyProtection="1">
      <alignment horizontal="right" vertical="center"/>
    </xf>
    <xf numFmtId="166" fontId="65" fillId="0" borderId="57" xfId="0" applyNumberFormat="1" applyFont="1" applyFill="1" applyBorder="1" applyAlignment="1" applyProtection="1">
      <alignment horizontal="right" vertical="center"/>
    </xf>
    <xf numFmtId="0" fontId="5" fillId="0" borderId="38" xfId="67" applyFill="1" applyBorder="1" applyAlignment="1" applyProtection="1">
      <alignment horizontal="left"/>
      <protection hidden="1"/>
    </xf>
    <xf numFmtId="0" fontId="5" fillId="0" borderId="4" xfId="67" applyFill="1" applyBorder="1" applyAlignment="1" applyProtection="1">
      <alignment horizontal="left"/>
      <protection hidden="1"/>
    </xf>
    <xf numFmtId="0" fontId="5" fillId="0" borderId="38" xfId="67" applyFont="1" applyFill="1" applyBorder="1" applyAlignment="1" applyProtection="1">
      <alignment horizontal="left"/>
      <protection hidden="1"/>
    </xf>
    <xf numFmtId="0" fontId="5" fillId="0" borderId="4" xfId="67" applyFont="1" applyFill="1" applyBorder="1" applyAlignment="1" applyProtection="1">
      <alignment horizontal="left"/>
      <protection hidden="1"/>
    </xf>
    <xf numFmtId="0" fontId="40" fillId="0" borderId="0" xfId="0" applyFont="1" applyFill="1" applyBorder="1" applyAlignment="1" applyProtection="1">
      <alignment horizontal="right" vertical="center"/>
    </xf>
    <xf numFmtId="0" fontId="65" fillId="0" borderId="0" xfId="66" applyFont="1" applyFill="1" applyAlignment="1" applyProtection="1">
      <alignment horizontal="center" vertical="center" wrapText="1"/>
    </xf>
    <xf numFmtId="0" fontId="66" fillId="0" borderId="14" xfId="68" applyFont="1" applyFill="1" applyBorder="1" applyAlignment="1" applyProtection="1">
      <alignment horizontal="left" vertical="center"/>
    </xf>
    <xf numFmtId="0" fontId="66" fillId="0" borderId="0" xfId="68" applyFont="1" applyFill="1" applyBorder="1" applyAlignment="1" applyProtection="1">
      <alignment horizontal="left" vertical="center"/>
    </xf>
    <xf numFmtId="0" fontId="66" fillId="0" borderId="13" xfId="68" applyFont="1" applyFill="1" applyBorder="1" applyAlignment="1" applyProtection="1">
      <alignment horizontal="left" vertical="center"/>
    </xf>
    <xf numFmtId="167" fontId="81" fillId="30" borderId="27" xfId="0" applyNumberFormat="1" applyFont="1" applyFill="1" applyBorder="1" applyAlignment="1" applyProtection="1">
      <alignment horizontal="right" vertical="center"/>
      <protection hidden="1"/>
    </xf>
    <xf numFmtId="167" fontId="81" fillId="30" borderId="32" xfId="0" applyNumberFormat="1" applyFont="1" applyFill="1" applyBorder="1" applyAlignment="1" applyProtection="1">
      <alignment horizontal="right" vertical="center"/>
      <protection hidden="1"/>
    </xf>
    <xf numFmtId="166" fontId="81" fillId="30" borderId="6" xfId="0" applyNumberFormat="1" applyFont="1" applyFill="1" applyBorder="1" applyAlignment="1" applyProtection="1">
      <alignment horizontal="right" vertical="center"/>
      <protection hidden="1"/>
    </xf>
    <xf numFmtId="166" fontId="3" fillId="30" borderId="6" xfId="0" applyNumberFormat="1" applyFont="1" applyFill="1" applyBorder="1" applyAlignment="1" applyProtection="1">
      <alignment horizontal="right" vertical="center"/>
      <protection hidden="1"/>
    </xf>
    <xf numFmtId="166" fontId="81" fillId="30" borderId="27" xfId="0" applyNumberFormat="1" applyFont="1" applyFill="1" applyBorder="1" applyAlignment="1" applyProtection="1">
      <alignment horizontal="right" vertical="center"/>
      <protection hidden="1"/>
    </xf>
    <xf numFmtId="166" fontId="81" fillId="30" borderId="32" xfId="0" applyNumberFormat="1" applyFont="1" applyFill="1" applyBorder="1" applyAlignment="1" applyProtection="1">
      <alignment horizontal="right" vertical="center"/>
      <protection hidden="1"/>
    </xf>
    <xf numFmtId="0" fontId="65" fillId="0" borderId="14" xfId="68" applyFont="1" applyFill="1" applyBorder="1" applyAlignment="1" applyProtection="1">
      <alignment horizontal="left"/>
    </xf>
    <xf numFmtId="0" fontId="65" fillId="0" borderId="0" xfId="68" applyFont="1" applyFill="1" applyBorder="1" applyAlignment="1" applyProtection="1">
      <alignment horizontal="left"/>
    </xf>
    <xf numFmtId="0" fontId="65" fillId="0" borderId="13" xfId="68" applyFont="1" applyFill="1" applyBorder="1" applyAlignment="1" applyProtection="1">
      <alignment horizontal="left"/>
    </xf>
    <xf numFmtId="0" fontId="3" fillId="0" borderId="38" xfId="68" applyFont="1" applyFill="1" applyBorder="1" applyAlignment="1" applyProtection="1">
      <alignment horizontal="left" vertical="center"/>
    </xf>
    <xf numFmtId="0" fontId="3" fillId="0" borderId="4" xfId="68" applyFont="1" applyFill="1" applyBorder="1" applyAlignment="1" applyProtection="1">
      <alignment horizontal="left" vertical="center"/>
    </xf>
    <xf numFmtId="0" fontId="3" fillId="0" borderId="37" xfId="68" applyFont="1" applyFill="1" applyBorder="1" applyAlignment="1" applyProtection="1">
      <alignment horizontal="left" vertical="center"/>
    </xf>
    <xf numFmtId="166" fontId="77" fillId="30" borderId="67" xfId="0" applyNumberFormat="1" applyFont="1" applyFill="1" applyBorder="1" applyAlignment="1" applyProtection="1">
      <alignment horizontal="right" vertical="center"/>
      <protection hidden="1"/>
    </xf>
    <xf numFmtId="166" fontId="77" fillId="30" borderId="41" xfId="0" applyNumberFormat="1" applyFont="1" applyFill="1" applyBorder="1" applyAlignment="1" applyProtection="1">
      <alignment horizontal="right" vertical="center"/>
      <protection hidden="1"/>
    </xf>
    <xf numFmtId="0" fontId="77" fillId="0" borderId="5" xfId="67" applyFont="1" applyFill="1" applyBorder="1" applyAlignment="1" applyProtection="1">
      <alignment horizontal="right" vertical="center"/>
    </xf>
    <xf numFmtId="0" fontId="77" fillId="0" borderId="74" xfId="67" applyFont="1" applyFill="1" applyBorder="1" applyAlignment="1" applyProtection="1">
      <alignment horizontal="right" vertical="center"/>
    </xf>
    <xf numFmtId="0" fontId="3" fillId="0" borderId="65" xfId="67" applyFont="1" applyFill="1" applyBorder="1" applyAlignment="1" applyProtection="1">
      <alignment horizontal="left" vertical="center"/>
    </xf>
    <xf numFmtId="0" fontId="3" fillId="0" borderId="26" xfId="67" applyFont="1" applyFill="1" applyBorder="1" applyAlignment="1" applyProtection="1">
      <alignment horizontal="left" vertical="center"/>
    </xf>
    <xf numFmtId="0" fontId="3" fillId="0" borderId="61" xfId="67" applyFont="1" applyFill="1" applyBorder="1" applyAlignment="1" applyProtection="1">
      <alignment horizontal="left" vertical="center"/>
    </xf>
    <xf numFmtId="0" fontId="65" fillId="0" borderId="33" xfId="68" applyFont="1" applyFill="1" applyBorder="1" applyAlignment="1" applyProtection="1">
      <alignment horizontal="right" vertical="center"/>
    </xf>
    <xf numFmtId="0" fontId="65" fillId="0" borderId="57" xfId="68" applyFont="1" applyFill="1" applyBorder="1" applyAlignment="1" applyProtection="1">
      <alignment horizontal="right" vertical="center"/>
    </xf>
    <xf numFmtId="0" fontId="65" fillId="0" borderId="21" xfId="68" applyFont="1" applyFill="1" applyBorder="1" applyAlignment="1" applyProtection="1">
      <alignment horizontal="right" vertical="center"/>
    </xf>
    <xf numFmtId="0" fontId="3" fillId="0" borderId="56" xfId="68" applyFont="1" applyFill="1" applyBorder="1" applyAlignment="1" applyProtection="1">
      <alignment horizontal="left" vertical="center"/>
    </xf>
    <xf numFmtId="0" fontId="3" fillId="0" borderId="18" xfId="68" applyFont="1" applyFill="1" applyBorder="1" applyAlignment="1" applyProtection="1">
      <alignment horizontal="left" vertical="center"/>
    </xf>
    <xf numFmtId="0" fontId="3" fillId="0" borderId="32" xfId="68" applyFont="1" applyFill="1" applyBorder="1" applyAlignment="1" applyProtection="1">
      <alignment horizontal="left" vertical="center"/>
    </xf>
    <xf numFmtId="166" fontId="3" fillId="30" borderId="43" xfId="0" applyNumberFormat="1" applyFont="1" applyFill="1" applyBorder="1" applyAlignment="1" applyProtection="1">
      <alignment horizontal="right" vertical="center"/>
      <protection hidden="1"/>
    </xf>
    <xf numFmtId="166" fontId="77" fillId="30" borderId="25" xfId="0" applyNumberFormat="1" applyFont="1" applyFill="1" applyBorder="1" applyAlignment="1" applyProtection="1">
      <alignment horizontal="right" vertical="center"/>
      <protection hidden="1"/>
    </xf>
    <xf numFmtId="0" fontId="66" fillId="0" borderId="5" xfId="68" applyFont="1" applyFill="1" applyBorder="1" applyAlignment="1" applyProtection="1">
      <alignment horizontal="right" vertical="center"/>
    </xf>
    <xf numFmtId="0" fontId="66" fillId="0" borderId="74" xfId="68" applyFont="1" applyFill="1" applyBorder="1" applyAlignment="1" applyProtection="1">
      <alignment horizontal="right" vertical="center"/>
    </xf>
    <xf numFmtId="0" fontId="77" fillId="0" borderId="72" xfId="68" applyFont="1" applyFill="1" applyBorder="1" applyAlignment="1" applyProtection="1">
      <alignment horizontal="left" vertical="center"/>
    </xf>
    <xf numFmtId="0" fontId="77" fillId="0" borderId="5" xfId="68" applyFont="1" applyFill="1" applyBorder="1" applyAlignment="1" applyProtection="1">
      <alignment horizontal="left" vertical="center"/>
    </xf>
    <xf numFmtId="0" fontId="77" fillId="0" borderId="62" xfId="68" applyFont="1" applyFill="1" applyBorder="1" applyAlignment="1" applyProtection="1">
      <alignment horizontal="left" vertical="center"/>
    </xf>
    <xf numFmtId="166" fontId="5" fillId="0" borderId="0" xfId="0" applyNumberFormat="1" applyFont="1" applyFill="1" applyBorder="1" applyAlignment="1" applyProtection="1">
      <alignment horizontal="right" vertical="center"/>
    </xf>
    <xf numFmtId="0" fontId="77" fillId="0" borderId="14" xfId="0" applyFont="1" applyFill="1" applyBorder="1" applyAlignment="1" applyProtection="1">
      <alignment horizontal="right" vertical="center"/>
    </xf>
    <xf numFmtId="0" fontId="77" fillId="0" borderId="0" xfId="0" applyFont="1" applyFill="1" applyBorder="1" applyAlignment="1" applyProtection="1">
      <alignment horizontal="right" vertical="center"/>
    </xf>
    <xf numFmtId="0" fontId="77" fillId="0" borderId="22" xfId="0" applyFont="1" applyFill="1" applyBorder="1" applyAlignment="1" applyProtection="1">
      <alignment horizontal="right" vertical="center"/>
    </xf>
    <xf numFmtId="0" fontId="81" fillId="0" borderId="0" xfId="66" applyFont="1" applyFill="1" applyAlignment="1" applyProtection="1">
      <alignment horizontal="center" vertical="center" wrapText="1"/>
    </xf>
    <xf numFmtId="0" fontId="81" fillId="0" borderId="0" xfId="66" applyFont="1" applyFill="1" applyAlignment="1" applyProtection="1">
      <alignment horizontal="center" vertical="center" wrapText="1"/>
      <protection hidden="1"/>
    </xf>
    <xf numFmtId="1" fontId="7" fillId="0" borderId="4" xfId="71" applyNumberFormat="1" applyFill="1" applyBorder="1" applyAlignment="1" applyProtection="1">
      <alignment horizontal="center"/>
      <protection hidden="1"/>
    </xf>
    <xf numFmtId="0" fontId="77" fillId="0" borderId="14" xfId="67" applyFont="1" applyFill="1" applyBorder="1" applyAlignment="1" applyProtection="1">
      <alignment horizontal="right" vertical="center"/>
    </xf>
    <xf numFmtId="0" fontId="77" fillId="0" borderId="0" xfId="67" applyFont="1" applyFill="1" applyBorder="1" applyAlignment="1" applyProtection="1">
      <alignment horizontal="right" vertical="center"/>
    </xf>
    <xf numFmtId="0" fontId="77" fillId="0" borderId="22" xfId="67" applyFont="1" applyFill="1" applyBorder="1" applyAlignment="1" applyProtection="1">
      <alignment horizontal="right" vertical="center"/>
    </xf>
    <xf numFmtId="181" fontId="7" fillId="0" borderId="0" xfId="71" applyNumberFormat="1" applyFill="1" applyBorder="1" applyAlignment="1" applyProtection="1">
      <alignment horizontal="center"/>
      <protection hidden="1"/>
    </xf>
    <xf numFmtId="0" fontId="81" fillId="0" borderId="0" xfId="0" applyFont="1" applyFill="1" applyBorder="1" applyAlignment="1" applyProtection="1">
      <alignment horizontal="center" vertical="center"/>
    </xf>
    <xf numFmtId="166" fontId="77" fillId="30" borderId="27" xfId="0" applyNumberFormat="1" applyFont="1" applyFill="1" applyBorder="1" applyAlignment="1" applyProtection="1">
      <alignment horizontal="right" vertical="center"/>
      <protection hidden="1"/>
    </xf>
    <xf numFmtId="166" fontId="77" fillId="30" borderId="32" xfId="0" applyNumberFormat="1" applyFont="1" applyFill="1" applyBorder="1" applyAlignment="1" applyProtection="1">
      <alignment horizontal="right" vertical="center"/>
      <protection hidden="1"/>
    </xf>
    <xf numFmtId="0" fontId="77" fillId="0" borderId="0" xfId="68" applyFont="1" applyFill="1" applyBorder="1" applyAlignment="1" applyProtection="1">
      <alignment horizontal="right" vertical="center"/>
    </xf>
    <xf numFmtId="0" fontId="77" fillId="0" borderId="22" xfId="68" applyFont="1" applyFill="1" applyBorder="1" applyAlignment="1" applyProtection="1">
      <alignment horizontal="right" vertical="center"/>
    </xf>
    <xf numFmtId="166" fontId="77" fillId="30" borderId="6" xfId="0" applyNumberFormat="1" applyFont="1" applyFill="1" applyBorder="1" applyAlignment="1" applyProtection="1">
      <alignment horizontal="right" vertical="center"/>
      <protection hidden="1"/>
    </xf>
    <xf numFmtId="167" fontId="3" fillId="30" borderId="6" xfId="0" applyNumberFormat="1" applyFont="1" applyFill="1" applyBorder="1" applyAlignment="1" applyProtection="1">
      <alignment horizontal="right" vertical="center"/>
      <protection hidden="1"/>
    </xf>
    <xf numFmtId="0" fontId="3" fillId="0" borderId="56" xfId="67" applyFont="1" applyFill="1" applyBorder="1" applyAlignment="1" applyProtection="1">
      <alignment horizontal="left" vertical="center" wrapText="1"/>
    </xf>
    <xf numFmtId="0" fontId="3" fillId="0" borderId="18" xfId="67" applyFont="1" applyFill="1" applyBorder="1" applyAlignment="1" applyProtection="1">
      <alignment horizontal="left" vertical="center" wrapText="1"/>
    </xf>
    <xf numFmtId="0" fontId="3" fillId="0" borderId="4" xfId="67" applyFont="1" applyFill="1" applyBorder="1" applyAlignment="1" applyProtection="1">
      <alignment horizontal="left" vertical="center" wrapText="1"/>
    </xf>
    <xf numFmtId="0" fontId="3" fillId="0" borderId="37" xfId="67" applyFont="1" applyFill="1" applyBorder="1" applyAlignment="1" applyProtection="1">
      <alignment horizontal="left" vertical="center" wrapText="1"/>
    </xf>
    <xf numFmtId="167" fontId="77" fillId="30" borderId="66" xfId="0" applyNumberFormat="1" applyFont="1" applyFill="1" applyBorder="1" applyAlignment="1" applyProtection="1">
      <alignment horizontal="right" vertical="center"/>
      <protection hidden="1"/>
    </xf>
    <xf numFmtId="167" fontId="77" fillId="30" borderId="70" xfId="0" applyNumberFormat="1" applyFont="1" applyFill="1" applyBorder="1" applyAlignment="1" applyProtection="1">
      <alignment horizontal="right" vertical="center"/>
      <protection hidden="1"/>
    </xf>
    <xf numFmtId="0" fontId="66" fillId="0" borderId="0" xfId="68" applyFont="1" applyFill="1" applyBorder="1" applyAlignment="1" applyProtection="1">
      <alignment horizontal="right" vertical="center"/>
    </xf>
    <xf numFmtId="0" fontId="66" fillId="0" borderId="13" xfId="68" applyFont="1" applyFill="1" applyBorder="1" applyAlignment="1" applyProtection="1">
      <alignment horizontal="right" vertical="center"/>
    </xf>
    <xf numFmtId="49" fontId="3" fillId="0" borderId="33" xfId="67" applyNumberFormat="1" applyFont="1" applyFill="1" applyBorder="1" applyAlignment="1" applyProtection="1">
      <alignment horizontal="left" vertical="center" wrapText="1"/>
    </xf>
    <xf numFmtId="49" fontId="3" fillId="0" borderId="38" xfId="67" applyNumberFormat="1" applyFont="1" applyFill="1" applyBorder="1" applyAlignment="1" applyProtection="1">
      <alignment horizontal="left" vertical="center" wrapText="1"/>
    </xf>
    <xf numFmtId="0" fontId="3" fillId="0" borderId="33" xfId="67" applyFont="1" applyFill="1" applyBorder="1" applyAlignment="1" applyProtection="1">
      <alignment horizontal="left" vertical="center"/>
    </xf>
    <xf numFmtId="0" fontId="40" fillId="0" borderId="2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22" xfId="0" applyFont="1" applyFill="1" applyBorder="1" applyAlignment="1" applyProtection="1">
      <alignment horizontal="center" vertical="center"/>
    </xf>
    <xf numFmtId="0" fontId="40" fillId="0" borderId="36" xfId="0" applyFont="1" applyFill="1" applyBorder="1" applyAlignment="1" applyProtection="1">
      <alignment horizontal="center" vertical="center"/>
    </xf>
    <xf numFmtId="0" fontId="40" fillId="0" borderId="4" xfId="0" applyFont="1" applyFill="1" applyBorder="1" applyAlignment="1" applyProtection="1">
      <alignment horizontal="center" vertical="center"/>
    </xf>
    <xf numFmtId="0" fontId="40" fillId="0" borderId="37" xfId="0" applyFont="1" applyFill="1" applyBorder="1" applyAlignment="1" applyProtection="1">
      <alignment horizontal="center" vertical="center"/>
    </xf>
    <xf numFmtId="0" fontId="3" fillId="0" borderId="14" xfId="67" applyFont="1" applyFill="1" applyBorder="1" applyAlignment="1" applyProtection="1">
      <alignment horizontal="left" vertical="center"/>
    </xf>
    <xf numFmtId="0" fontId="3" fillId="0" borderId="18" xfId="67" applyFont="1" applyFill="1" applyBorder="1" applyAlignment="1" applyProtection="1">
      <alignment horizontal="left" vertical="center"/>
      <protection hidden="1"/>
    </xf>
    <xf numFmtId="0" fontId="3" fillId="0" borderId="4" xfId="67" applyFont="1" applyFill="1" applyBorder="1" applyAlignment="1" applyProtection="1">
      <alignment horizontal="left" vertical="center"/>
      <protection hidden="1"/>
    </xf>
    <xf numFmtId="0" fontId="83" fillId="0" borderId="14" xfId="68" applyFont="1" applyFill="1" applyBorder="1" applyAlignment="1" applyProtection="1">
      <alignment horizontal="left"/>
    </xf>
    <xf numFmtId="0" fontId="83" fillId="0" borderId="0" xfId="68" applyFont="1" applyFill="1" applyBorder="1" applyAlignment="1" applyProtection="1">
      <alignment horizontal="left"/>
    </xf>
    <xf numFmtId="0" fontId="69" fillId="0" borderId="14" xfId="68" applyFont="1" applyFill="1" applyBorder="1" applyAlignment="1" applyProtection="1">
      <alignment horizontal="left"/>
    </xf>
    <xf numFmtId="0" fontId="69" fillId="0" borderId="0" xfId="68" applyFont="1" applyFill="1" applyBorder="1" applyAlignment="1" applyProtection="1">
      <alignment horizontal="left"/>
    </xf>
    <xf numFmtId="0" fontId="69" fillId="0" borderId="13" xfId="68" applyFont="1" applyFill="1" applyBorder="1" applyAlignment="1" applyProtection="1">
      <alignment horizontal="left"/>
    </xf>
    <xf numFmtId="0" fontId="3" fillId="33" borderId="24" xfId="0" applyFont="1" applyFill="1" applyBorder="1" applyAlignment="1" applyProtection="1">
      <alignment horizontal="center" vertical="center"/>
      <protection locked="0"/>
    </xf>
    <xf numFmtId="0" fontId="3" fillId="33" borderId="25" xfId="0" applyFont="1" applyFill="1" applyBorder="1" applyAlignment="1" applyProtection="1">
      <alignment horizontal="center" vertical="center"/>
      <protection locked="0"/>
    </xf>
    <xf numFmtId="0" fontId="3" fillId="0" borderId="56" xfId="67" applyFont="1" applyFill="1" applyBorder="1" applyAlignment="1" applyProtection="1">
      <alignment horizontal="left"/>
    </xf>
    <xf numFmtId="0" fontId="3" fillId="0" borderId="18" xfId="67" applyFont="1" applyFill="1" applyBorder="1" applyAlignment="1" applyProtection="1">
      <alignment horizontal="left"/>
    </xf>
    <xf numFmtId="0" fontId="3" fillId="0" borderId="32" xfId="67" applyFont="1" applyFill="1" applyBorder="1" applyAlignment="1" applyProtection="1">
      <alignment horizontal="left"/>
    </xf>
    <xf numFmtId="0" fontId="71" fillId="0" borderId="14" xfId="0" applyFont="1" applyFill="1" applyBorder="1" applyAlignment="1" applyProtection="1">
      <alignment horizontal="left" vertical="center"/>
    </xf>
    <xf numFmtId="0" fontId="71" fillId="0" borderId="0" xfId="0" applyFont="1" applyFill="1" applyBorder="1" applyAlignment="1" applyProtection="1">
      <alignment horizontal="left" vertical="center"/>
    </xf>
    <xf numFmtId="0" fontId="83" fillId="0" borderId="13" xfId="68" applyFont="1" applyFill="1" applyBorder="1" applyAlignment="1" applyProtection="1">
      <alignment horizontal="left"/>
    </xf>
    <xf numFmtId="0" fontId="3" fillId="0" borderId="0" xfId="67" applyFont="1" applyFill="1" applyBorder="1" applyAlignment="1" applyProtection="1">
      <alignment horizontal="left" vertical="center"/>
    </xf>
    <xf numFmtId="0" fontId="3" fillId="0" borderId="22" xfId="67" applyFont="1" applyFill="1" applyBorder="1" applyAlignment="1" applyProtection="1">
      <alignment horizontal="left" vertical="center"/>
    </xf>
    <xf numFmtId="0" fontId="22" fillId="0" borderId="38" xfId="67" applyFont="1" applyFill="1" applyBorder="1" applyAlignment="1" applyProtection="1">
      <alignment horizontal="left" vertical="center"/>
      <protection hidden="1"/>
    </xf>
    <xf numFmtId="0" fontId="22" fillId="0" borderId="4" xfId="67" applyFont="1" applyFill="1" applyBorder="1" applyAlignment="1" applyProtection="1">
      <alignment horizontal="left" vertical="center"/>
      <protection hidden="1"/>
    </xf>
    <xf numFmtId="0" fontId="22" fillId="0" borderId="37" xfId="67" applyFont="1" applyFill="1" applyBorder="1" applyAlignment="1" applyProtection="1">
      <alignment horizontal="left" vertical="center"/>
      <protection hidden="1"/>
    </xf>
    <xf numFmtId="0" fontId="3" fillId="33" borderId="24" xfId="0" applyNumberFormat="1" applyFont="1" applyFill="1" applyBorder="1" applyAlignment="1" applyProtection="1">
      <alignment horizontal="center" vertical="center"/>
      <protection locked="0"/>
    </xf>
    <xf numFmtId="0" fontId="3" fillId="33" borderId="25" xfId="0" applyNumberFormat="1" applyFont="1" applyFill="1" applyBorder="1" applyAlignment="1" applyProtection="1">
      <alignment horizontal="center" vertical="center"/>
      <protection locked="0"/>
    </xf>
    <xf numFmtId="0" fontId="71" fillId="0" borderId="14" xfId="0" applyFont="1" applyFill="1" applyBorder="1" applyAlignment="1" applyProtection="1">
      <alignment horizontal="left"/>
    </xf>
    <xf numFmtId="0" fontId="71" fillId="0" borderId="0" xfId="0" applyFont="1" applyFill="1" applyBorder="1" applyAlignment="1" applyProtection="1">
      <alignment horizontal="left"/>
    </xf>
    <xf numFmtId="0" fontId="70" fillId="0" borderId="17" xfId="0" applyFont="1" applyFill="1" applyBorder="1" applyAlignment="1" applyProtection="1">
      <alignment horizontal="left" vertical="center"/>
      <protection hidden="1"/>
    </xf>
    <xf numFmtId="179" fontId="7" fillId="33" borderId="6" xfId="71" applyNumberFormat="1" applyFont="1" applyFill="1" applyBorder="1" applyAlignment="1" applyProtection="1">
      <alignment horizontal="center" vertical="center"/>
      <protection locked="0"/>
    </xf>
    <xf numFmtId="0" fontId="71" fillId="0" borderId="13" xfId="0" applyFont="1" applyFill="1" applyBorder="1" applyAlignment="1" applyProtection="1">
      <alignment horizontal="left"/>
    </xf>
    <xf numFmtId="1" fontId="3" fillId="33" borderId="56" xfId="76" applyNumberFormat="1" applyFont="1" applyFill="1" applyBorder="1" applyAlignment="1" applyProtection="1">
      <alignment horizontal="left" vertical="center"/>
      <protection locked="0"/>
    </xf>
    <xf numFmtId="1" fontId="3" fillId="33" borderId="18" xfId="76" applyNumberFormat="1" applyFont="1" applyFill="1" applyBorder="1" applyAlignment="1" applyProtection="1">
      <alignment horizontal="left" vertical="center"/>
      <protection locked="0"/>
    </xf>
    <xf numFmtId="1" fontId="3" fillId="33" borderId="32" xfId="76" applyNumberFormat="1" applyFont="1" applyFill="1" applyBorder="1" applyAlignment="1" applyProtection="1">
      <alignment horizontal="left" vertical="center"/>
      <protection locked="0"/>
    </xf>
    <xf numFmtId="1" fontId="3" fillId="33" borderId="65" xfId="76" applyNumberFormat="1" applyFont="1" applyFill="1" applyBorder="1" applyAlignment="1" applyProtection="1">
      <alignment horizontal="left" vertical="center"/>
      <protection locked="0"/>
    </xf>
    <xf numFmtId="1" fontId="3" fillId="33" borderId="26" xfId="76" applyNumberFormat="1" applyFont="1" applyFill="1" applyBorder="1" applyAlignment="1" applyProtection="1">
      <alignment horizontal="left" vertical="center"/>
      <protection locked="0"/>
    </xf>
    <xf numFmtId="1" fontId="3" fillId="33" borderId="61" xfId="76" applyNumberFormat="1" applyFont="1" applyFill="1" applyBorder="1" applyAlignment="1" applyProtection="1">
      <alignment horizontal="left" vertical="center"/>
      <protection locked="0"/>
    </xf>
    <xf numFmtId="168" fontId="85" fillId="0" borderId="17" xfId="76" applyFont="1" applyFill="1" applyBorder="1" applyAlignment="1" applyProtection="1">
      <alignment horizontal="right"/>
    </xf>
    <xf numFmtId="168" fontId="54" fillId="0" borderId="40" xfId="76" applyFont="1" applyFill="1" applyBorder="1" applyAlignment="1" applyProtection="1">
      <alignment horizontal="left" vertical="center"/>
    </xf>
    <xf numFmtId="168" fontId="54" fillId="0" borderId="42" xfId="76" applyFont="1" applyFill="1" applyBorder="1" applyAlignment="1" applyProtection="1">
      <alignment horizontal="left" vertical="center"/>
    </xf>
    <xf numFmtId="168" fontId="54" fillId="0" borderId="41" xfId="76" applyFont="1" applyFill="1" applyBorder="1" applyAlignment="1" applyProtection="1">
      <alignment horizontal="left" vertical="center"/>
    </xf>
    <xf numFmtId="0" fontId="92" fillId="0" borderId="0" xfId="58" applyFont="1" applyFill="1" applyBorder="1" applyAlignment="1" applyProtection="1">
      <alignment horizontal="center" vertical="center" wrapText="1"/>
    </xf>
    <xf numFmtId="168" fontId="52" fillId="0" borderId="59" xfId="76" applyFont="1" applyFill="1" applyBorder="1" applyAlignment="1" applyProtection="1">
      <alignment horizontal="left" vertical="center" wrapText="1"/>
    </xf>
    <xf numFmtId="168" fontId="52" fillId="0" borderId="6" xfId="76" applyFont="1" applyFill="1" applyBorder="1" applyAlignment="1" applyProtection="1">
      <alignment horizontal="left" vertical="center" wrapText="1"/>
    </xf>
    <xf numFmtId="0" fontId="72" fillId="0" borderId="0" xfId="0" applyFont="1" applyAlignment="1">
      <alignment horizontal="left"/>
    </xf>
    <xf numFmtId="4" fontId="99" fillId="0" borderId="97" xfId="0" applyNumberFormat="1" applyFont="1" applyBorder="1" applyAlignment="1" applyProtection="1">
      <alignment horizontal="right" vertical="center"/>
      <protection hidden="1"/>
    </xf>
    <xf numFmtId="4" fontId="99" fillId="0" borderId="98" xfId="0" applyNumberFormat="1" applyFont="1" applyBorder="1" applyAlignment="1" applyProtection="1">
      <alignment horizontal="right" vertical="center"/>
      <protection hidden="1"/>
    </xf>
    <xf numFmtId="0" fontId="72" fillId="0" borderId="99" xfId="0" applyFont="1" applyBorder="1" applyAlignment="1">
      <alignment horizontal="left" vertical="center" wrapText="1"/>
    </xf>
    <xf numFmtId="0" fontId="72" fillId="0" borderId="100" xfId="0" applyFont="1" applyBorder="1" applyAlignment="1">
      <alignment horizontal="left" vertical="center" wrapText="1"/>
    </xf>
    <xf numFmtId="0" fontId="72" fillId="0" borderId="101" xfId="0" applyFont="1" applyBorder="1" applyAlignment="1">
      <alignment horizontal="left" vertical="center" wrapText="1"/>
    </xf>
    <xf numFmtId="0" fontId="72" fillId="0" borderId="102" xfId="0" applyFont="1" applyBorder="1" applyAlignment="1">
      <alignment horizontal="left" vertical="center" wrapText="1"/>
    </xf>
    <xf numFmtId="0" fontId="72" fillId="0" borderId="103" xfId="0" applyFont="1" applyBorder="1" applyAlignment="1">
      <alignment horizontal="left" vertical="center" wrapText="1"/>
    </xf>
    <xf numFmtId="0" fontId="72" fillId="0" borderId="104" xfId="0" applyFont="1" applyBorder="1" applyAlignment="1">
      <alignment horizontal="left" vertical="center" wrapText="1"/>
    </xf>
    <xf numFmtId="0" fontId="72" fillId="0" borderId="81" xfId="0" applyFont="1" applyBorder="1" applyAlignment="1">
      <alignment horizontal="left"/>
    </xf>
    <xf numFmtId="168" fontId="52" fillId="0" borderId="59" xfId="76" applyFont="1" applyFill="1" applyBorder="1" applyAlignment="1" applyProtection="1">
      <alignment horizontal="left" vertical="center"/>
    </xf>
    <xf numFmtId="168" fontId="52" fillId="0" borderId="6" xfId="76" applyFont="1" applyFill="1" applyBorder="1" applyAlignment="1" applyProtection="1">
      <alignment horizontal="left" vertical="center"/>
    </xf>
    <xf numFmtId="168" fontId="85" fillId="0" borderId="0" xfId="76" applyFont="1" applyFill="1" applyBorder="1" applyAlignment="1" applyProtection="1">
      <alignment horizontal="center"/>
    </xf>
    <xf numFmtId="0" fontId="103" fillId="0" borderId="0" xfId="68" applyFont="1" applyFill="1" applyBorder="1" applyAlignment="1" applyProtection="1">
      <alignment horizontal="center" vertical="center" wrapText="1"/>
    </xf>
    <xf numFmtId="0" fontId="66" fillId="0" borderId="0" xfId="68" applyFont="1" applyFill="1" applyBorder="1" applyAlignment="1" applyProtection="1">
      <alignment horizontal="center" vertical="center" wrapText="1"/>
    </xf>
    <xf numFmtId="168" fontId="52" fillId="0" borderId="68" xfId="76" applyFont="1" applyFill="1" applyBorder="1" applyAlignment="1" applyProtection="1">
      <alignment horizontal="left" vertical="center"/>
    </xf>
    <xf numFmtId="168" fontId="52" fillId="0" borderId="25" xfId="76" applyFont="1" applyFill="1" applyBorder="1" applyAlignment="1" applyProtection="1">
      <alignment horizontal="left" vertical="center"/>
    </xf>
    <xf numFmtId="0" fontId="83" fillId="0" borderId="72" xfId="68" applyFont="1" applyFill="1" applyBorder="1" applyAlignment="1" applyProtection="1">
      <alignment horizontal="left" vertical="center" wrapText="1"/>
    </xf>
    <xf numFmtId="0" fontId="83" fillId="0" borderId="5" xfId="68" applyFont="1" applyFill="1" applyBorder="1" applyAlignment="1" applyProtection="1">
      <alignment horizontal="left" vertical="center" wrapText="1"/>
    </xf>
    <xf numFmtId="0" fontId="83" fillId="0" borderId="62" xfId="68" applyFont="1" applyFill="1" applyBorder="1" applyAlignment="1" applyProtection="1">
      <alignment horizontal="left" vertical="center" wrapText="1"/>
    </xf>
    <xf numFmtId="168" fontId="76" fillId="0" borderId="0" xfId="76" applyFont="1" applyFill="1" applyAlignment="1" applyProtection="1">
      <alignment horizontal="right"/>
    </xf>
    <xf numFmtId="168" fontId="76" fillId="0" borderId="0" xfId="76" applyFont="1" applyFill="1" applyBorder="1" applyAlignment="1" applyProtection="1">
      <alignment horizontal="right"/>
    </xf>
    <xf numFmtId="168" fontId="78" fillId="0" borderId="0" xfId="76" applyFont="1" applyFill="1" applyAlignment="1" applyProtection="1">
      <alignment horizontal="right" vertical="center"/>
    </xf>
    <xf numFmtId="168" fontId="78" fillId="0" borderId="13" xfId="76" applyFont="1" applyFill="1" applyBorder="1" applyAlignment="1" applyProtection="1">
      <alignment horizontal="right" vertical="center"/>
    </xf>
    <xf numFmtId="168" fontId="78" fillId="0" borderId="0" xfId="76" applyFont="1" applyFill="1" applyBorder="1" applyAlignment="1" applyProtection="1">
      <alignment horizontal="right" vertical="center"/>
    </xf>
    <xf numFmtId="168" fontId="54" fillId="0" borderId="40" xfId="76" applyFont="1" applyFill="1" applyBorder="1" applyAlignment="1" applyProtection="1">
      <alignment horizontal="center" vertical="center"/>
    </xf>
    <xf numFmtId="168" fontId="54" fillId="0" borderId="41" xfId="76" applyFont="1" applyFill="1" applyBorder="1" applyAlignment="1" applyProtection="1">
      <alignment horizontal="center" vertical="center"/>
    </xf>
    <xf numFmtId="179" fontId="3" fillId="28" borderId="24" xfId="76" applyNumberFormat="1" applyFont="1" applyFill="1" applyBorder="1" applyAlignment="1" applyProtection="1">
      <alignment horizontal="right" vertical="center"/>
      <protection hidden="1"/>
    </xf>
    <xf numFmtId="179" fontId="3" fillId="28" borderId="25" xfId="76" applyNumberFormat="1" applyFont="1" applyFill="1" applyBorder="1" applyAlignment="1" applyProtection="1">
      <alignment horizontal="right" vertical="center"/>
      <protection hidden="1"/>
    </xf>
    <xf numFmtId="168" fontId="3" fillId="0" borderId="56" xfId="76" applyFont="1" applyFill="1" applyBorder="1" applyAlignment="1" applyProtection="1">
      <alignment horizontal="left" vertical="center"/>
    </xf>
    <xf numFmtId="168" fontId="3" fillId="0" borderId="32" xfId="76" applyFont="1" applyFill="1" applyBorder="1" applyAlignment="1" applyProtection="1">
      <alignment horizontal="left" vertical="center"/>
    </xf>
    <xf numFmtId="168" fontId="5" fillId="0" borderId="66" xfId="76" applyFont="1" applyFill="1" applyBorder="1" applyAlignment="1" applyProtection="1">
      <alignment horizontal="left" vertical="center"/>
    </xf>
    <xf numFmtId="168" fontId="5" fillId="0" borderId="70" xfId="76" applyFont="1" applyFill="1" applyBorder="1" applyAlignment="1" applyProtection="1">
      <alignment horizontal="left" vertical="center"/>
    </xf>
    <xf numFmtId="168" fontId="3" fillId="0" borderId="18" xfId="76" applyFont="1" applyFill="1" applyBorder="1" applyAlignment="1" applyProtection="1">
      <alignment horizontal="left" vertical="center"/>
    </xf>
    <xf numFmtId="168" fontId="3" fillId="0" borderId="26" xfId="76" applyFont="1" applyFill="1" applyBorder="1" applyAlignment="1" applyProtection="1">
      <alignment horizontal="left" vertical="center"/>
    </xf>
    <xf numFmtId="168" fontId="3" fillId="0" borderId="61" xfId="76" applyFont="1" applyFill="1" applyBorder="1" applyAlignment="1" applyProtection="1">
      <alignment horizontal="left" vertical="center"/>
    </xf>
    <xf numFmtId="168" fontId="5" fillId="0" borderId="67" xfId="76" applyFont="1" applyFill="1" applyBorder="1" applyAlignment="1" applyProtection="1">
      <alignment horizontal="left" vertical="center"/>
    </xf>
    <xf numFmtId="168" fontId="5" fillId="0" borderId="42" xfId="76" applyFont="1" applyFill="1" applyBorder="1" applyAlignment="1" applyProtection="1">
      <alignment horizontal="left" vertical="center"/>
    </xf>
    <xf numFmtId="168" fontId="3" fillId="0" borderId="33" xfId="76" applyFont="1" applyFill="1" applyBorder="1" applyAlignment="1" applyProtection="1">
      <alignment horizontal="left" vertical="center" wrapText="1"/>
    </xf>
    <xf numFmtId="168" fontId="3" fillId="0" borderId="57" xfId="76" applyFont="1" applyFill="1" applyBorder="1" applyAlignment="1" applyProtection="1">
      <alignment horizontal="left" vertical="center" wrapText="1"/>
    </xf>
    <xf numFmtId="168" fontId="3" fillId="0" borderId="38" xfId="76" applyFont="1" applyFill="1" applyBorder="1" applyAlignment="1" applyProtection="1">
      <alignment horizontal="left" vertical="center" wrapText="1"/>
    </xf>
    <xf numFmtId="168" fontId="3" fillId="0" borderId="4" xfId="76" applyFont="1" applyFill="1" applyBorder="1" applyAlignment="1" applyProtection="1">
      <alignment horizontal="left" vertical="center" wrapText="1"/>
    </xf>
    <xf numFmtId="168" fontId="3" fillId="0" borderId="4" xfId="76" applyFont="1" applyFill="1" applyBorder="1" applyAlignment="1" applyProtection="1">
      <alignment horizontal="left" vertical="center"/>
    </xf>
    <xf numFmtId="179" fontId="3" fillId="33" borderId="24" xfId="76" applyNumberFormat="1" applyFont="1" applyFill="1" applyBorder="1" applyAlignment="1" applyProtection="1">
      <alignment horizontal="right" vertical="center"/>
      <protection locked="0"/>
    </xf>
    <xf numFmtId="179" fontId="3" fillId="33" borderId="25" xfId="76" applyNumberFormat="1" applyFont="1" applyFill="1" applyBorder="1" applyAlignment="1" applyProtection="1">
      <alignment horizontal="right" vertical="center"/>
      <protection locked="0"/>
    </xf>
    <xf numFmtId="168" fontId="3" fillId="0" borderId="65" xfId="76" applyFont="1" applyFill="1" applyBorder="1" applyAlignment="1" applyProtection="1">
      <alignment horizontal="left" vertical="center"/>
    </xf>
    <xf numFmtId="168" fontId="90" fillId="0" borderId="0" xfId="76" applyFont="1" applyFill="1" applyAlignment="1" applyProtection="1">
      <alignment horizontal="left" vertical="center"/>
    </xf>
    <xf numFmtId="168" fontId="78" fillId="0" borderId="0" xfId="76" applyFont="1" applyFill="1" applyAlignment="1" applyProtection="1">
      <alignment horizontal="left" vertical="center"/>
    </xf>
    <xf numFmtId="168" fontId="5" fillId="0" borderId="40" xfId="76" applyFont="1" applyFill="1" applyBorder="1" applyAlignment="1" applyProtection="1">
      <alignment horizontal="left"/>
    </xf>
    <xf numFmtId="168" fontId="5" fillId="0" borderId="42" xfId="76" applyFont="1" applyFill="1" applyBorder="1" applyAlignment="1" applyProtection="1">
      <alignment horizontal="left"/>
    </xf>
    <xf numFmtId="168" fontId="5" fillId="0" borderId="50" xfId="76" applyFont="1" applyFill="1" applyBorder="1" applyAlignment="1" applyProtection="1">
      <alignment horizontal="left"/>
    </xf>
    <xf numFmtId="168" fontId="5" fillId="0" borderId="19" xfId="76" applyFont="1" applyFill="1" applyBorder="1" applyAlignment="1" applyProtection="1">
      <alignment horizontal="left" vertical="center"/>
    </xf>
    <xf numFmtId="168" fontId="5" fillId="0" borderId="69" xfId="76" applyFont="1" applyFill="1" applyBorder="1" applyAlignment="1" applyProtection="1">
      <alignment horizontal="left" vertical="center"/>
    </xf>
    <xf numFmtId="168" fontId="78" fillId="0" borderId="0" xfId="76" applyFont="1" applyFill="1" applyBorder="1" applyAlignment="1" applyProtection="1">
      <alignment horizontal="left" vertical="center"/>
    </xf>
    <xf numFmtId="168" fontId="89" fillId="0" borderId="0" xfId="76" applyFont="1" applyFill="1" applyBorder="1" applyAlignment="1" applyProtection="1">
      <alignment horizontal="right" vertical="center"/>
    </xf>
    <xf numFmtId="168" fontId="5" fillId="0" borderId="0" xfId="76" applyFont="1" applyFill="1" applyAlignment="1" applyProtection="1">
      <alignment horizontal="right" vertical="center"/>
    </xf>
    <xf numFmtId="168" fontId="5" fillId="0" borderId="13" xfId="76" applyFont="1" applyFill="1" applyBorder="1" applyAlignment="1" applyProtection="1">
      <alignment horizontal="right" vertical="center"/>
    </xf>
    <xf numFmtId="169" fontId="77" fillId="31" borderId="66" xfId="0" applyNumberFormat="1" applyFont="1" applyFill="1" applyBorder="1" applyAlignment="1" applyProtection="1">
      <alignment horizontal="right"/>
      <protection hidden="1"/>
    </xf>
    <xf numFmtId="169" fontId="77" fillId="31" borderId="19" xfId="0" applyNumberFormat="1" applyFont="1" applyFill="1" applyBorder="1" applyAlignment="1" applyProtection="1">
      <alignment horizontal="right"/>
      <protection hidden="1"/>
    </xf>
    <xf numFmtId="169" fontId="77" fillId="31" borderId="70" xfId="0" applyNumberFormat="1" applyFont="1" applyFill="1" applyBorder="1" applyAlignment="1" applyProtection="1">
      <alignment horizontal="right"/>
      <protection hidden="1"/>
    </xf>
    <xf numFmtId="168" fontId="91" fillId="0" borderId="0" xfId="76" applyFont="1" applyFill="1" applyAlignment="1" applyProtection="1">
      <alignment horizontal="left" vertical="center"/>
    </xf>
    <xf numFmtId="168" fontId="91" fillId="0" borderId="0" xfId="76" applyFont="1" applyFill="1" applyBorder="1" applyAlignment="1" applyProtection="1">
      <alignment horizontal="left" vertical="center"/>
    </xf>
    <xf numFmtId="168" fontId="78" fillId="0" borderId="0" xfId="76" applyFont="1" applyFill="1" applyAlignment="1" applyProtection="1">
      <alignment horizontal="left" vertical="center" wrapText="1"/>
    </xf>
    <xf numFmtId="168" fontId="76" fillId="0" borderId="17" xfId="76" applyFont="1" applyFill="1" applyBorder="1" applyAlignment="1" applyProtection="1">
      <alignment horizontal="center" vertical="center"/>
    </xf>
    <xf numFmtId="168" fontId="52" fillId="33" borderId="67" xfId="76" applyFont="1" applyFill="1" applyBorder="1" applyAlignment="1" applyProtection="1">
      <alignment horizontal="right" vertical="center"/>
      <protection locked="0"/>
    </xf>
    <xf numFmtId="168" fontId="52" fillId="33" borderId="42" xfId="76" applyFont="1" applyFill="1" applyBorder="1" applyAlignment="1" applyProtection="1">
      <alignment horizontal="right" vertical="center"/>
      <protection locked="0"/>
    </xf>
    <xf numFmtId="168" fontId="52" fillId="33" borderId="50" xfId="76" applyFont="1" applyFill="1" applyBorder="1" applyAlignment="1" applyProtection="1">
      <alignment horizontal="right" vertical="center"/>
      <protection locked="0"/>
    </xf>
    <xf numFmtId="168" fontId="3" fillId="0" borderId="33" xfId="76" applyFont="1" applyFill="1" applyBorder="1" applyAlignment="1" applyProtection="1">
      <alignment horizontal="left" vertical="center"/>
    </xf>
    <xf numFmtId="168" fontId="3" fillId="0" borderId="57" xfId="76" applyFont="1" applyFill="1" applyBorder="1" applyAlignment="1" applyProtection="1">
      <alignment horizontal="left" vertical="center"/>
    </xf>
    <xf numFmtId="168" fontId="3" fillId="0" borderId="21" xfId="76" applyFont="1" applyFill="1" applyBorder="1" applyAlignment="1" applyProtection="1">
      <alignment horizontal="left" vertical="center"/>
    </xf>
    <xf numFmtId="168" fontId="3" fillId="0" borderId="66" xfId="76" applyFont="1" applyFill="1" applyBorder="1" applyAlignment="1" applyProtection="1">
      <alignment horizontal="left" vertical="center"/>
    </xf>
    <xf numFmtId="168" fontId="3" fillId="0" borderId="19" xfId="76" applyFont="1" applyFill="1" applyBorder="1" applyAlignment="1" applyProtection="1">
      <alignment horizontal="left" vertical="center"/>
    </xf>
    <xf numFmtId="168" fontId="3" fillId="0" borderId="70" xfId="76" applyFont="1" applyFill="1" applyBorder="1" applyAlignment="1" applyProtection="1">
      <alignment horizontal="left" vertical="center"/>
    </xf>
    <xf numFmtId="168" fontId="90" fillId="0" borderId="0" xfId="76" applyFont="1" applyFill="1" applyBorder="1" applyAlignment="1" applyProtection="1">
      <alignment horizontal="left" vertical="center"/>
    </xf>
    <xf numFmtId="168" fontId="3" fillId="0" borderId="67" xfId="76" applyFont="1" applyFill="1" applyBorder="1" applyAlignment="1" applyProtection="1">
      <alignment horizontal="left" vertical="center"/>
    </xf>
    <xf numFmtId="168" fontId="3" fillId="0" borderId="41" xfId="76" applyFont="1" applyFill="1" applyBorder="1" applyAlignment="1" applyProtection="1">
      <alignment horizontal="left" vertical="center"/>
    </xf>
    <xf numFmtId="168" fontId="3" fillId="0" borderId="60" xfId="76" applyFont="1" applyFill="1" applyBorder="1" applyAlignment="1" applyProtection="1">
      <alignment horizontal="left" vertical="center"/>
    </xf>
    <xf numFmtId="168" fontId="52" fillId="0" borderId="72" xfId="76" applyFont="1" applyFill="1" applyBorder="1" applyAlignment="1" applyProtection="1">
      <alignment horizontal="left" vertical="center" wrapText="1"/>
    </xf>
    <xf numFmtId="168" fontId="52" fillId="0" borderId="74" xfId="76" applyFont="1" applyFill="1" applyBorder="1" applyAlignment="1" applyProtection="1">
      <alignment horizontal="left" vertical="center" wrapText="1"/>
    </xf>
    <xf numFmtId="168" fontId="52" fillId="0" borderId="16" xfId="76" applyFont="1" applyFill="1" applyBorder="1" applyAlignment="1" applyProtection="1">
      <alignment horizontal="left" vertical="center" wrapText="1"/>
    </xf>
    <xf numFmtId="168" fontId="52" fillId="0" borderId="75" xfId="76" applyFont="1" applyFill="1" applyBorder="1" applyAlignment="1" applyProtection="1">
      <alignment horizontal="left" vertical="center" wrapText="1"/>
    </xf>
    <xf numFmtId="168" fontId="77" fillId="0" borderId="0" xfId="76" applyFont="1" applyFill="1" applyBorder="1" applyAlignment="1" applyProtection="1">
      <alignment horizontal="right" vertical="center"/>
    </xf>
    <xf numFmtId="168" fontId="77" fillId="0" borderId="13" xfId="76" applyFont="1" applyFill="1" applyBorder="1" applyAlignment="1" applyProtection="1">
      <alignment horizontal="right" vertical="center"/>
    </xf>
    <xf numFmtId="168" fontId="5" fillId="0" borderId="40" xfId="76" applyFont="1" applyFill="1" applyBorder="1" applyAlignment="1" applyProtection="1">
      <alignment horizontal="left" vertical="center"/>
    </xf>
    <xf numFmtId="168" fontId="5" fillId="0" borderId="50" xfId="76" applyFont="1" applyFill="1" applyBorder="1" applyAlignment="1" applyProtection="1">
      <alignment horizontal="left" vertical="center"/>
    </xf>
    <xf numFmtId="168" fontId="5" fillId="0" borderId="41" xfId="76" applyFont="1" applyFill="1" applyBorder="1" applyAlignment="1" applyProtection="1">
      <alignment horizontal="left" vertical="center"/>
    </xf>
    <xf numFmtId="168" fontId="66" fillId="0" borderId="0" xfId="76" applyFont="1" applyFill="1" applyBorder="1" applyAlignment="1" applyProtection="1">
      <alignment horizontal="left" vertical="center"/>
    </xf>
    <xf numFmtId="168" fontId="3" fillId="0" borderId="17" xfId="76" applyFont="1" applyFill="1" applyBorder="1" applyAlignment="1" applyProtection="1">
      <alignment horizontal="left" vertical="center"/>
    </xf>
    <xf numFmtId="168" fontId="5" fillId="0" borderId="76" xfId="76" applyFont="1" applyFill="1" applyBorder="1" applyAlignment="1" applyProtection="1">
      <alignment horizontal="center" vertical="center" textRotation="90" wrapText="1"/>
    </xf>
    <xf numFmtId="168" fontId="5" fillId="0" borderId="23" xfId="76" applyFont="1" applyFill="1" applyBorder="1" applyAlignment="1" applyProtection="1">
      <alignment horizontal="center" vertical="center" textRotation="90"/>
    </xf>
    <xf numFmtId="168" fontId="5" fillId="0" borderId="46" xfId="76" applyFont="1" applyFill="1" applyBorder="1" applyAlignment="1" applyProtection="1">
      <alignment horizontal="center" vertical="center" textRotation="90"/>
    </xf>
    <xf numFmtId="168" fontId="5" fillId="33" borderId="66" xfId="76" applyFont="1" applyFill="1" applyBorder="1" applyAlignment="1" applyProtection="1">
      <alignment horizontal="left" vertical="center"/>
      <protection locked="0"/>
    </xf>
    <xf numFmtId="168" fontId="5" fillId="33" borderId="19" xfId="76" applyFont="1" applyFill="1" applyBorder="1" applyAlignment="1" applyProtection="1">
      <alignment horizontal="left" vertical="center"/>
      <protection locked="0"/>
    </xf>
    <xf numFmtId="168" fontId="5" fillId="33" borderId="70" xfId="76" applyFont="1" applyFill="1" applyBorder="1" applyAlignment="1" applyProtection="1">
      <alignment horizontal="left" vertical="center"/>
      <protection locked="0"/>
    </xf>
    <xf numFmtId="168" fontId="104" fillId="0" borderId="0" xfId="76" applyFont="1" applyFill="1" applyBorder="1" applyAlignment="1" applyProtection="1">
      <alignment horizontal="left" vertical="center"/>
    </xf>
    <xf numFmtId="168" fontId="5" fillId="0" borderId="44" xfId="76" applyFont="1" applyFill="1" applyBorder="1" applyAlignment="1" applyProtection="1">
      <alignment horizontal="center" vertical="center" textRotation="90" wrapText="1"/>
    </xf>
    <xf numFmtId="168" fontId="5" fillId="0" borderId="34" xfId="76" applyFont="1" applyFill="1" applyBorder="1" applyAlignment="1" applyProtection="1">
      <alignment horizontal="center" vertical="center" textRotation="90"/>
    </xf>
    <xf numFmtId="168" fontId="5" fillId="0" borderId="25" xfId="76" applyFont="1" applyFill="1" applyBorder="1" applyAlignment="1" applyProtection="1">
      <alignment horizontal="center" vertical="center" textRotation="90"/>
    </xf>
    <xf numFmtId="168" fontId="3" fillId="0" borderId="21" xfId="76" applyFont="1" applyFill="1" applyBorder="1" applyAlignment="1" applyProtection="1">
      <alignment horizontal="left" vertical="center" wrapText="1"/>
    </xf>
    <xf numFmtId="168" fontId="3" fillId="0" borderId="37" xfId="76" applyFont="1" applyFill="1" applyBorder="1" applyAlignment="1" applyProtection="1">
      <alignment horizontal="left" vertical="center" wrapText="1"/>
    </xf>
    <xf numFmtId="168" fontId="76" fillId="0" borderId="0" xfId="76" applyFont="1" applyFill="1" applyBorder="1" applyAlignment="1" applyProtection="1">
      <alignment horizontal="left" vertical="center" wrapText="1"/>
    </xf>
    <xf numFmtId="168" fontId="76" fillId="0" borderId="22" xfId="76" applyFont="1" applyFill="1" applyBorder="1" applyAlignment="1" applyProtection="1">
      <alignment horizontal="left" vertical="center" wrapText="1"/>
    </xf>
    <xf numFmtId="168" fontId="76" fillId="0" borderId="17" xfId="76" applyFont="1" applyFill="1" applyBorder="1" applyAlignment="1" applyProtection="1">
      <alignment horizontal="left" vertical="center" wrapText="1"/>
    </xf>
    <xf numFmtId="168" fontId="76" fillId="0" borderId="75" xfId="76" applyFont="1" applyFill="1" applyBorder="1" applyAlignment="1" applyProtection="1">
      <alignment horizontal="left" vertical="center" wrapText="1"/>
    </xf>
    <xf numFmtId="168" fontId="5" fillId="0" borderId="0" xfId="76" applyFont="1" applyFill="1" applyAlignment="1" applyProtection="1">
      <alignment horizontal="left" vertical="center"/>
    </xf>
    <xf numFmtId="168" fontId="5" fillId="0" borderId="13" xfId="76" applyFont="1" applyFill="1" applyBorder="1" applyAlignment="1" applyProtection="1">
      <alignment horizontal="left" vertical="center"/>
    </xf>
    <xf numFmtId="164" fontId="77" fillId="28" borderId="66" xfId="73" applyNumberFormat="1" applyFont="1" applyFill="1" applyBorder="1" applyAlignment="1" applyProtection="1">
      <alignment horizontal="right" vertical="center"/>
      <protection hidden="1"/>
    </xf>
    <xf numFmtId="164" fontId="77" fillId="28" borderId="70" xfId="73" applyNumberFormat="1" applyFont="1" applyFill="1" applyBorder="1" applyAlignment="1" applyProtection="1">
      <alignment horizontal="right" vertical="center"/>
      <protection hidden="1"/>
    </xf>
    <xf numFmtId="169" fontId="5" fillId="33" borderId="60" xfId="76" applyNumberFormat="1" applyFont="1" applyFill="1" applyBorder="1" applyAlignment="1" applyProtection="1">
      <alignment horizontal="right" vertical="center"/>
      <protection locked="0"/>
    </xf>
    <xf numFmtId="169" fontId="5" fillId="33" borderId="53" xfId="76" applyNumberFormat="1" applyFont="1" applyFill="1" applyBorder="1" applyAlignment="1" applyProtection="1">
      <alignment horizontal="right" vertical="center"/>
      <protection locked="0"/>
    </xf>
    <xf numFmtId="169" fontId="3" fillId="33" borderId="66" xfId="76" applyNumberFormat="1" applyFont="1" applyFill="1" applyBorder="1" applyAlignment="1" applyProtection="1">
      <alignment horizontal="right" vertical="center"/>
      <protection locked="0"/>
    </xf>
    <xf numFmtId="169" fontId="3" fillId="33" borderId="70" xfId="76" applyNumberFormat="1" applyFont="1" applyFill="1" applyBorder="1" applyAlignment="1" applyProtection="1">
      <alignment horizontal="right" vertical="center"/>
      <protection locked="0"/>
    </xf>
    <xf numFmtId="2" fontId="3" fillId="33" borderId="24" xfId="76" applyNumberFormat="1" applyFont="1" applyFill="1" applyBorder="1" applyAlignment="1" applyProtection="1">
      <alignment horizontal="right" vertical="center"/>
      <protection locked="0"/>
    </xf>
    <xf numFmtId="2" fontId="3" fillId="33" borderId="25" xfId="76" applyNumberFormat="1" applyFont="1" applyFill="1" applyBorder="1" applyAlignment="1" applyProtection="1">
      <alignment horizontal="right" vertical="center"/>
      <protection locked="0"/>
    </xf>
    <xf numFmtId="169" fontId="3" fillId="28" borderId="66" xfId="76" applyNumberFormat="1" applyFont="1" applyFill="1" applyBorder="1" applyAlignment="1" applyProtection="1">
      <alignment horizontal="right" vertical="center"/>
      <protection hidden="1"/>
    </xf>
    <xf numFmtId="169" fontId="3" fillId="28" borderId="70" xfId="76" applyNumberFormat="1" applyFont="1" applyFill="1" applyBorder="1" applyAlignment="1" applyProtection="1">
      <alignment horizontal="right" vertical="center"/>
      <protection hidden="1"/>
    </xf>
    <xf numFmtId="169" fontId="5" fillId="33" borderId="67" xfId="76" applyNumberFormat="1" applyFont="1" applyFill="1" applyBorder="1" applyAlignment="1" applyProtection="1">
      <alignment horizontal="right" vertical="center"/>
      <protection locked="0"/>
    </xf>
    <xf numFmtId="169" fontId="5" fillId="33" borderId="50" xfId="76" applyNumberFormat="1" applyFont="1" applyFill="1" applyBorder="1" applyAlignment="1" applyProtection="1">
      <alignment horizontal="right" vertical="center"/>
      <protection locked="0"/>
    </xf>
    <xf numFmtId="168" fontId="20" fillId="31" borderId="71" xfId="76" applyFont="1" applyFill="1" applyBorder="1" applyAlignment="1" applyProtection="1">
      <alignment horizontal="center" vertical="center"/>
      <protection hidden="1"/>
    </xf>
    <xf numFmtId="168" fontId="20" fillId="31" borderId="70" xfId="76" applyFont="1" applyFill="1" applyBorder="1" applyAlignment="1" applyProtection="1">
      <alignment horizontal="center" vertical="center"/>
      <protection hidden="1"/>
    </xf>
    <xf numFmtId="168" fontId="3" fillId="0" borderId="42" xfId="76" applyFont="1" applyFill="1" applyBorder="1" applyAlignment="1" applyProtection="1">
      <alignment horizontal="left" vertical="center"/>
    </xf>
    <xf numFmtId="168" fontId="3" fillId="0" borderId="50" xfId="76" applyFont="1" applyFill="1" applyBorder="1" applyAlignment="1" applyProtection="1">
      <alignment horizontal="left" vertical="center"/>
    </xf>
    <xf numFmtId="168" fontId="5" fillId="0" borderId="44" xfId="76" applyFont="1" applyFill="1" applyBorder="1" applyAlignment="1" applyProtection="1">
      <alignment horizontal="center" vertical="center" wrapText="1"/>
    </xf>
    <xf numFmtId="168" fontId="5" fillId="0" borderId="34" xfId="76" applyFont="1" applyFill="1" applyBorder="1" applyAlignment="1" applyProtection="1">
      <alignment horizontal="center" vertical="center" wrapText="1"/>
    </xf>
    <xf numFmtId="168" fontId="5" fillId="0" borderId="25" xfId="76" applyFont="1" applyFill="1" applyBorder="1" applyAlignment="1" applyProtection="1">
      <alignment horizontal="center" vertical="center" wrapText="1"/>
    </xf>
    <xf numFmtId="168" fontId="5" fillId="0" borderId="64" xfId="76" applyFont="1" applyFill="1" applyBorder="1" applyAlignment="1" applyProtection="1">
      <alignment horizontal="center" vertical="center" textRotation="90"/>
    </xf>
    <xf numFmtId="168" fontId="5" fillId="0" borderId="77" xfId="76" applyFont="1" applyFill="1" applyBorder="1" applyAlignment="1" applyProtection="1">
      <alignment horizontal="center" vertical="center" textRotation="90"/>
    </xf>
    <xf numFmtId="168" fontId="5" fillId="0" borderId="78" xfId="76" applyFont="1" applyFill="1" applyBorder="1" applyAlignment="1" applyProtection="1">
      <alignment horizontal="center" vertical="center" textRotation="90"/>
    </xf>
    <xf numFmtId="168" fontId="3" fillId="0" borderId="27" xfId="76" applyFont="1" applyFill="1" applyBorder="1" applyAlignment="1" applyProtection="1">
      <alignment horizontal="left" vertical="center"/>
    </xf>
    <xf numFmtId="168" fontId="3" fillId="0" borderId="51" xfId="76" applyFont="1" applyFill="1" applyBorder="1" applyAlignment="1" applyProtection="1">
      <alignment horizontal="left" vertical="center"/>
    </xf>
    <xf numFmtId="168" fontId="20" fillId="0" borderId="27" xfId="76" applyFont="1" applyFill="1" applyBorder="1" applyAlignment="1" applyProtection="1">
      <alignment horizontal="left" vertical="center"/>
    </xf>
    <xf numFmtId="168" fontId="20" fillId="0" borderId="18" xfId="76" applyFont="1" applyFill="1" applyBorder="1" applyAlignment="1" applyProtection="1">
      <alignment horizontal="left" vertical="center"/>
    </xf>
    <xf numFmtId="168" fontId="20" fillId="0" borderId="51" xfId="76" applyFont="1" applyFill="1" applyBorder="1" applyAlignment="1" applyProtection="1">
      <alignment horizontal="left" vertical="center"/>
    </xf>
    <xf numFmtId="168" fontId="3" fillId="0" borderId="53" xfId="76" applyFont="1" applyFill="1" applyBorder="1" applyAlignment="1" applyProtection="1">
      <alignment horizontal="left" vertical="center"/>
    </xf>
    <xf numFmtId="165" fontId="3" fillId="28" borderId="66" xfId="76" applyNumberFormat="1" applyFont="1" applyFill="1" applyBorder="1" applyAlignment="1" applyProtection="1">
      <alignment horizontal="right" vertical="center"/>
      <protection hidden="1"/>
    </xf>
    <xf numFmtId="165" fontId="3" fillId="28" borderId="70" xfId="76" applyNumberFormat="1" applyFont="1" applyFill="1" applyBorder="1" applyAlignment="1" applyProtection="1">
      <alignment horizontal="right" vertical="center"/>
      <protection hidden="1"/>
    </xf>
    <xf numFmtId="169" fontId="3" fillId="33" borderId="60" xfId="76" applyNumberFormat="1" applyFont="1" applyFill="1" applyBorder="1" applyAlignment="1" applyProtection="1">
      <alignment horizontal="right" vertical="center"/>
      <protection locked="0"/>
    </xf>
    <xf numFmtId="169" fontId="3" fillId="33" borderId="53" xfId="76" applyNumberFormat="1" applyFont="1" applyFill="1" applyBorder="1" applyAlignment="1" applyProtection="1">
      <alignment horizontal="right" vertical="center"/>
      <protection locked="0"/>
    </xf>
    <xf numFmtId="168" fontId="77" fillId="0" borderId="0" xfId="76" applyFont="1" applyFill="1" applyBorder="1" applyAlignment="1" applyProtection="1">
      <alignment horizontal="left" vertical="center"/>
    </xf>
    <xf numFmtId="168" fontId="5" fillId="33" borderId="66" xfId="76" applyFont="1" applyFill="1" applyBorder="1" applyAlignment="1" applyProtection="1">
      <alignment horizontal="left"/>
      <protection locked="0"/>
    </xf>
    <xf numFmtId="168" fontId="5" fillId="33" borderId="19" xfId="76" applyFont="1" applyFill="1" applyBorder="1" applyAlignment="1" applyProtection="1">
      <alignment horizontal="left"/>
      <protection locked="0"/>
    </xf>
    <xf numFmtId="168" fontId="5" fillId="33" borderId="70" xfId="76" applyFont="1" applyFill="1" applyBorder="1" applyAlignment="1" applyProtection="1">
      <alignment horizontal="left"/>
      <protection locked="0"/>
    </xf>
    <xf numFmtId="168" fontId="104" fillId="0" borderId="17" xfId="76" applyFont="1" applyFill="1" applyBorder="1" applyAlignment="1" applyProtection="1">
      <alignment horizontal="left" vertical="center"/>
    </xf>
    <xf numFmtId="168" fontId="3" fillId="0" borderId="5" xfId="76" applyFont="1" applyFill="1" applyBorder="1" applyAlignment="1" applyProtection="1">
      <alignment horizontal="left" vertical="center"/>
    </xf>
    <xf numFmtId="168" fontId="3" fillId="0" borderId="62" xfId="76" applyFont="1" applyFill="1" applyBorder="1" applyAlignment="1" applyProtection="1">
      <alignment horizontal="left" vertical="center"/>
    </xf>
    <xf numFmtId="169" fontId="3" fillId="33" borderId="67" xfId="76" applyNumberFormat="1" applyFont="1" applyFill="1" applyBorder="1" applyAlignment="1" applyProtection="1">
      <alignment horizontal="right" vertical="center"/>
      <protection locked="0"/>
    </xf>
    <xf numFmtId="169" fontId="3" fillId="33" borderId="50" xfId="76" applyNumberFormat="1" applyFont="1" applyFill="1" applyBorder="1" applyAlignment="1" applyProtection="1">
      <alignment horizontal="right" vertical="center"/>
      <protection locked="0"/>
    </xf>
    <xf numFmtId="0" fontId="77" fillId="0" borderId="17" xfId="67" applyFont="1" applyFill="1" applyBorder="1" applyAlignment="1" applyProtection="1">
      <alignment horizontal="center" vertical="center" wrapText="1"/>
    </xf>
    <xf numFmtId="0" fontId="5" fillId="0" borderId="27" xfId="66" applyFill="1" applyBorder="1" applyAlignment="1" applyProtection="1">
      <alignment horizontal="center" vertical="center" wrapText="1"/>
    </xf>
    <xf numFmtId="0" fontId="5" fillId="0" borderId="32" xfId="66" applyFill="1" applyBorder="1" applyAlignment="1" applyProtection="1">
      <alignment horizontal="center" vertical="center" wrapText="1"/>
    </xf>
    <xf numFmtId="49" fontId="3" fillId="33" borderId="36" xfId="0" applyNumberFormat="1" applyFont="1" applyFill="1" applyBorder="1" applyAlignment="1" applyProtection="1">
      <alignment horizontal="left"/>
      <protection locked="0"/>
    </xf>
    <xf numFmtId="49" fontId="3" fillId="33" borderId="4" xfId="0" applyNumberFormat="1" applyFont="1" applyFill="1" applyBorder="1" applyAlignment="1" applyProtection="1">
      <alignment horizontal="left"/>
      <protection locked="0"/>
    </xf>
    <xf numFmtId="49" fontId="3" fillId="33" borderId="37" xfId="0" applyNumberFormat="1" applyFont="1" applyFill="1" applyBorder="1" applyAlignment="1" applyProtection="1">
      <alignment horizontal="left"/>
      <protection locked="0"/>
    </xf>
    <xf numFmtId="0" fontId="5" fillId="0" borderId="18" xfId="66" applyFill="1" applyBorder="1" applyAlignment="1" applyProtection="1">
      <alignment horizontal="center" vertical="center" wrapText="1"/>
    </xf>
    <xf numFmtId="174" fontId="3" fillId="27" borderId="27" xfId="79" applyFont="1" applyFill="1" applyBorder="1" applyAlignment="1" applyProtection="1">
      <alignment horizontal="center"/>
      <protection locked="0"/>
    </xf>
    <xf numFmtId="174" fontId="3" fillId="27" borderId="32" xfId="79" applyFont="1" applyFill="1" applyBorder="1" applyAlignment="1" applyProtection="1">
      <alignment horizontal="center"/>
      <protection locked="0"/>
    </xf>
    <xf numFmtId="49" fontId="3" fillId="33" borderId="20" xfId="79" applyNumberFormat="1" applyFont="1" applyFill="1" applyBorder="1" applyAlignment="1" applyProtection="1">
      <alignment horizontal="left"/>
      <protection locked="0"/>
    </xf>
    <xf numFmtId="49" fontId="3" fillId="33" borderId="0" xfId="79" applyNumberFormat="1" applyFont="1" applyFill="1" applyBorder="1" applyAlignment="1" applyProtection="1">
      <alignment horizontal="left"/>
      <protection locked="0"/>
    </xf>
    <xf numFmtId="49" fontId="3" fillId="33" borderId="22" xfId="79" applyNumberFormat="1" applyFont="1" applyFill="1" applyBorder="1" applyAlignment="1" applyProtection="1">
      <alignment horizontal="left"/>
      <protection locked="0"/>
    </xf>
    <xf numFmtId="49" fontId="3" fillId="33" borderId="20" xfId="0" applyNumberFormat="1" applyFont="1" applyFill="1" applyBorder="1" applyAlignment="1" applyProtection="1">
      <alignment horizontal="left"/>
      <protection locked="0"/>
    </xf>
    <xf numFmtId="49" fontId="3" fillId="33" borderId="0" xfId="0" applyNumberFormat="1" applyFont="1" applyFill="1" applyBorder="1" applyAlignment="1" applyProtection="1">
      <alignment horizontal="left"/>
      <protection locked="0"/>
    </xf>
    <xf numFmtId="49" fontId="0" fillId="33" borderId="22" xfId="0" applyNumberFormat="1" applyFill="1" applyBorder="1" applyAlignment="1" applyProtection="1">
      <alignment horizontal="left"/>
      <protection locked="0"/>
    </xf>
    <xf numFmtId="49" fontId="3" fillId="33" borderId="22" xfId="0" applyNumberFormat="1" applyFont="1" applyFill="1" applyBorder="1" applyAlignment="1" applyProtection="1">
      <alignment horizontal="left"/>
      <protection locked="0"/>
    </xf>
    <xf numFmtId="174" fontId="3" fillId="0" borderId="35" xfId="79" applyFont="1" applyFill="1" applyBorder="1" applyAlignment="1" applyProtection="1">
      <alignment horizontal="left"/>
    </xf>
    <xf numFmtId="174" fontId="3" fillId="0" borderId="57" xfId="79" applyFont="1" applyFill="1" applyBorder="1" applyAlignment="1" applyProtection="1">
      <alignment horizontal="left"/>
    </xf>
    <xf numFmtId="174" fontId="3" fillId="0" borderId="21" xfId="79" applyFont="1" applyFill="1" applyBorder="1" applyAlignment="1" applyProtection="1">
      <alignment horizontal="left"/>
    </xf>
    <xf numFmtId="0" fontId="0" fillId="33" borderId="36" xfId="0" applyFill="1" applyBorder="1" applyAlignment="1" applyProtection="1">
      <alignment horizontal="left" vertical="top" wrapText="1"/>
      <protection locked="0"/>
    </xf>
    <xf numFmtId="0" fontId="0" fillId="33" borderId="4" xfId="0" applyFill="1" applyBorder="1" applyAlignment="1" applyProtection="1">
      <alignment horizontal="left" vertical="top" wrapText="1"/>
      <protection locked="0"/>
    </xf>
    <xf numFmtId="0" fontId="0" fillId="33" borderId="37" xfId="0" applyFill="1" applyBorder="1" applyAlignment="1" applyProtection="1">
      <alignment horizontal="left" vertical="top" wrapText="1"/>
      <protection locked="0"/>
    </xf>
    <xf numFmtId="0" fontId="3" fillId="33" borderId="20" xfId="0" applyFont="1" applyFill="1" applyBorder="1" applyAlignment="1" applyProtection="1">
      <alignment horizontal="left"/>
      <protection locked="0"/>
    </xf>
    <xf numFmtId="0" fontId="3" fillId="33" borderId="0" xfId="0" applyFont="1" applyFill="1" applyBorder="1" applyAlignment="1" applyProtection="1">
      <alignment horizontal="left"/>
      <protection locked="0"/>
    </xf>
    <xf numFmtId="0" fontId="3" fillId="33" borderId="22" xfId="0" applyFont="1" applyFill="1" applyBorder="1" applyAlignment="1" applyProtection="1">
      <alignment horizontal="left"/>
      <protection locked="0"/>
    </xf>
    <xf numFmtId="169" fontId="0" fillId="33" borderId="27" xfId="0" applyNumberFormat="1" applyFill="1" applyBorder="1" applyAlignment="1" applyProtection="1">
      <alignment horizontal="center" vertical="center"/>
      <protection locked="0"/>
    </xf>
    <xf numFmtId="169" fontId="0" fillId="33" borderId="32" xfId="0" applyNumberFormat="1" applyFill="1" applyBorder="1" applyAlignment="1" applyProtection="1">
      <alignment horizontal="center" vertical="center"/>
      <protection locked="0"/>
    </xf>
    <xf numFmtId="49" fontId="3" fillId="0" borderId="35" xfId="79" applyNumberFormat="1" applyFont="1" applyFill="1" applyBorder="1" applyAlignment="1" applyProtection="1">
      <alignment horizontal="left"/>
    </xf>
    <xf numFmtId="49" fontId="3" fillId="0" borderId="57" xfId="79" applyNumberFormat="1" applyFont="1" applyFill="1" applyBorder="1" applyAlignment="1" applyProtection="1">
      <alignment horizontal="left"/>
    </xf>
    <xf numFmtId="49" fontId="3" fillId="0" borderId="21" xfId="79" applyNumberFormat="1" applyFont="1" applyFill="1" applyBorder="1" applyAlignment="1" applyProtection="1">
      <alignment horizontal="left"/>
    </xf>
    <xf numFmtId="174" fontId="3" fillId="33" borderId="20" xfId="79" applyFont="1" applyFill="1" applyBorder="1" applyAlignment="1" applyProtection="1">
      <alignment horizontal="left"/>
      <protection locked="0"/>
    </xf>
    <xf numFmtId="174" fontId="3" fillId="33" borderId="0" xfId="79" applyFont="1" applyFill="1" applyBorder="1" applyAlignment="1" applyProtection="1">
      <alignment horizontal="left"/>
      <protection locked="0"/>
    </xf>
    <xf numFmtId="174" fontId="3" fillId="33" borderId="22" xfId="79" applyFont="1" applyFill="1" applyBorder="1" applyAlignment="1" applyProtection="1">
      <alignment horizontal="left"/>
      <protection locked="0"/>
    </xf>
    <xf numFmtId="4" fontId="68" fillId="0" borderId="0" xfId="0" applyNumberFormat="1" applyFont="1" applyFill="1" applyBorder="1" applyAlignment="1" applyProtection="1">
      <alignment horizontal="left" vertical="center" wrapText="1"/>
    </xf>
    <xf numFmtId="4" fontId="68" fillId="0" borderId="4" xfId="0" applyNumberFormat="1" applyFont="1" applyFill="1" applyBorder="1" applyAlignment="1" applyProtection="1">
      <alignment horizontal="left" vertical="center" wrapText="1"/>
    </xf>
    <xf numFmtId="168" fontId="5" fillId="33" borderId="27" xfId="76" applyFont="1" applyFill="1" applyBorder="1" applyAlignment="1" applyProtection="1">
      <alignment horizontal="left" vertical="center"/>
      <protection locked="0"/>
    </xf>
    <xf numFmtId="168" fontId="5" fillId="33" borderId="18" xfId="76" applyFont="1" applyFill="1" applyBorder="1" applyAlignment="1" applyProtection="1">
      <alignment horizontal="left" vertical="center"/>
      <protection locked="0"/>
    </xf>
    <xf numFmtId="168" fontId="5" fillId="33" borderId="32" xfId="76" applyFont="1" applyFill="1" applyBorder="1" applyAlignment="1" applyProtection="1">
      <alignment horizontal="left" vertical="center"/>
      <protection locked="0"/>
    </xf>
    <xf numFmtId="4" fontId="78" fillId="0" borderId="0" xfId="0" applyNumberFormat="1" applyFont="1" applyFill="1" applyBorder="1" applyAlignment="1" applyProtection="1">
      <alignment horizontal="left"/>
    </xf>
    <xf numFmtId="4" fontId="78" fillId="0" borderId="4" xfId="0" applyNumberFormat="1" applyFont="1" applyFill="1" applyBorder="1" applyAlignment="1" applyProtection="1">
      <alignment horizontal="left"/>
    </xf>
    <xf numFmtId="0" fontId="5" fillId="0" borderId="35" xfId="0" applyFont="1" applyFill="1" applyBorder="1" applyAlignment="1" applyProtection="1">
      <alignment horizontal="center" vertical="center"/>
      <protection hidden="1"/>
    </xf>
    <xf numFmtId="0" fontId="5" fillId="0" borderId="57" xfId="0" applyFont="1" applyFill="1" applyBorder="1" applyAlignment="1" applyProtection="1">
      <alignment horizontal="center" vertical="center"/>
      <protection hidden="1"/>
    </xf>
    <xf numFmtId="0" fontId="5" fillId="0" borderId="21" xfId="0" applyFont="1" applyFill="1" applyBorder="1" applyAlignment="1" applyProtection="1">
      <alignment horizontal="center" vertical="center"/>
      <protection hidden="1"/>
    </xf>
    <xf numFmtId="0" fontId="5" fillId="0" borderId="27" xfId="0" applyFont="1" applyFill="1" applyBorder="1" applyAlignment="1" applyProtection="1">
      <alignment horizontal="center" vertical="center"/>
      <protection hidden="1"/>
    </xf>
    <xf numFmtId="0" fontId="5" fillId="0" borderId="18" xfId="0" applyFont="1" applyFill="1" applyBorder="1" applyAlignment="1" applyProtection="1">
      <alignment horizontal="center" vertical="center"/>
      <protection hidden="1"/>
    </xf>
    <xf numFmtId="0" fontId="5" fillId="0" borderId="32" xfId="0" applyFont="1" applyFill="1" applyBorder="1" applyAlignment="1" applyProtection="1">
      <alignment horizontal="center" vertical="center"/>
      <protection hidden="1"/>
    </xf>
    <xf numFmtId="0" fontId="5" fillId="0" borderId="24" xfId="0" applyFont="1" applyFill="1" applyBorder="1" applyAlignment="1" applyProtection="1">
      <alignment horizontal="center" vertical="center" wrapText="1"/>
      <protection hidden="1"/>
    </xf>
    <xf numFmtId="0" fontId="5" fillId="0" borderId="34" xfId="0" applyFont="1" applyFill="1" applyBorder="1" applyAlignment="1" applyProtection="1">
      <alignment horizontal="center" vertical="center" wrapText="1"/>
      <protection hidden="1"/>
    </xf>
    <xf numFmtId="0" fontId="5" fillId="0" borderId="25" xfId="0" applyFont="1" applyFill="1" applyBorder="1" applyAlignment="1" applyProtection="1">
      <alignment horizontal="center" vertical="center" wrapText="1"/>
      <protection hidden="1"/>
    </xf>
    <xf numFmtId="0" fontId="5" fillId="0" borderId="2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7" xfId="66" applyFill="1" applyBorder="1" applyAlignment="1" applyProtection="1">
      <alignment horizontal="left" vertical="center" wrapText="1"/>
    </xf>
    <xf numFmtId="0" fontId="5" fillId="0" borderId="18" xfId="66" applyFill="1" applyBorder="1" applyAlignment="1" applyProtection="1">
      <alignment horizontal="left" vertical="center" wrapText="1"/>
    </xf>
    <xf numFmtId="0" fontId="5" fillId="0" borderId="32" xfId="66" applyFill="1" applyBorder="1" applyAlignment="1" applyProtection="1">
      <alignment horizontal="left" vertical="center" wrapText="1"/>
    </xf>
    <xf numFmtId="0" fontId="3" fillId="33" borderId="35" xfId="0" applyFont="1" applyFill="1" applyBorder="1" applyAlignment="1" applyProtection="1">
      <alignment horizontal="left"/>
      <protection locked="0"/>
    </xf>
    <xf numFmtId="0" fontId="3" fillId="33" borderId="57" xfId="0" applyFont="1" applyFill="1" applyBorder="1" applyAlignment="1" applyProtection="1">
      <alignment horizontal="left"/>
      <protection locked="0"/>
    </xf>
    <xf numFmtId="0" fontId="3" fillId="33" borderId="21" xfId="0" applyFont="1" applyFill="1" applyBorder="1" applyAlignment="1" applyProtection="1">
      <alignment horizontal="left"/>
      <protection locked="0"/>
    </xf>
    <xf numFmtId="174" fontId="3" fillId="33" borderId="36" xfId="79" applyFont="1" applyFill="1" applyBorder="1" applyAlignment="1" applyProtection="1">
      <alignment horizontal="left"/>
      <protection locked="0"/>
    </xf>
    <xf numFmtId="174" fontId="3" fillId="33" borderId="4" xfId="79" applyFont="1" applyFill="1" applyBorder="1" applyAlignment="1" applyProtection="1">
      <alignment horizontal="left"/>
      <protection locked="0"/>
    </xf>
    <xf numFmtId="174" fontId="3" fillId="33" borderId="37" xfId="79" applyFont="1" applyFill="1" applyBorder="1" applyAlignment="1" applyProtection="1">
      <alignment horizontal="left"/>
      <protection locked="0"/>
    </xf>
    <xf numFmtId="0" fontId="3" fillId="33" borderId="36" xfId="0" applyFont="1" applyFill="1" applyBorder="1" applyAlignment="1" applyProtection="1">
      <alignment horizontal="left"/>
      <protection locked="0"/>
    </xf>
    <xf numFmtId="0" fontId="3" fillId="33" borderId="4" xfId="0" applyFont="1" applyFill="1" applyBorder="1" applyAlignment="1" applyProtection="1">
      <alignment horizontal="left"/>
      <protection locked="0"/>
    </xf>
    <xf numFmtId="0" fontId="3" fillId="33" borderId="37" xfId="0" applyFont="1" applyFill="1" applyBorder="1" applyAlignment="1" applyProtection="1">
      <alignment horizontal="left"/>
      <protection locked="0"/>
    </xf>
    <xf numFmtId="0" fontId="83" fillId="0" borderId="0" xfId="0" applyFont="1" applyFill="1" applyBorder="1" applyAlignment="1">
      <alignment horizontal="right"/>
    </xf>
    <xf numFmtId="0" fontId="83" fillId="0" borderId="5" xfId="0" applyFont="1" applyFill="1" applyBorder="1" applyAlignment="1">
      <alignment horizontal="right"/>
    </xf>
    <xf numFmtId="0" fontId="83" fillId="0" borderId="74" xfId="0" applyFont="1" applyFill="1" applyBorder="1" applyAlignment="1">
      <alignment horizontal="right"/>
    </xf>
    <xf numFmtId="0" fontId="84" fillId="0" borderId="0" xfId="0" applyFont="1" applyFill="1" applyBorder="1" applyAlignment="1">
      <alignment horizontal="right"/>
    </xf>
    <xf numFmtId="0" fontId="3" fillId="0" borderId="56" xfId="0" applyFont="1" applyBorder="1" applyAlignment="1">
      <alignment horizontal="left"/>
    </xf>
    <xf numFmtId="0" fontId="3" fillId="0" borderId="18" xfId="0" applyFont="1" applyBorder="1" applyAlignment="1">
      <alignment horizontal="left"/>
    </xf>
    <xf numFmtId="0" fontId="3" fillId="0" borderId="32" xfId="0" applyFont="1" applyBorder="1" applyAlignment="1">
      <alignment horizontal="left"/>
    </xf>
    <xf numFmtId="0" fontId="83" fillId="0" borderId="72" xfId="68" applyFont="1" applyFill="1" applyBorder="1" applyAlignment="1" applyProtection="1">
      <alignment horizontal="left" vertical="center"/>
    </xf>
    <xf numFmtId="0" fontId="83" fillId="0" borderId="5" xfId="68" applyFont="1" applyFill="1" applyBorder="1" applyAlignment="1" applyProtection="1">
      <alignment horizontal="left" vertical="center"/>
    </xf>
    <xf numFmtId="0" fontId="83" fillId="0" borderId="62" xfId="68" applyFont="1" applyFill="1" applyBorder="1" applyAlignment="1" applyProtection="1">
      <alignment horizontal="left" vertical="center"/>
    </xf>
    <xf numFmtId="0" fontId="3" fillId="0" borderId="38" xfId="0" applyFont="1" applyBorder="1" applyAlignment="1">
      <alignment horizontal="left"/>
    </xf>
    <xf numFmtId="0" fontId="3" fillId="0" borderId="4" xfId="0" applyFont="1" applyBorder="1" applyAlignment="1">
      <alignment horizontal="left"/>
    </xf>
    <xf numFmtId="0" fontId="3" fillId="0" borderId="37" xfId="0" applyFont="1" applyBorder="1" applyAlignment="1">
      <alignment horizontal="left"/>
    </xf>
    <xf numFmtId="0" fontId="66" fillId="0" borderId="0" xfId="68" applyFont="1" applyFill="1" applyBorder="1" applyAlignment="1" applyProtection="1">
      <alignment horizontal="center" vertical="center"/>
    </xf>
    <xf numFmtId="0" fontId="92" fillId="0" borderId="14" xfId="58" applyFont="1" applyBorder="1" applyAlignment="1">
      <alignment horizontal="center" vertical="center" wrapText="1"/>
    </xf>
    <xf numFmtId="0" fontId="0" fillId="0" borderId="36" xfId="0" applyBorder="1" applyAlignment="1">
      <alignment horizontal="left"/>
    </xf>
    <xf numFmtId="0" fontId="0" fillId="0" borderId="4" xfId="0" applyBorder="1" applyAlignment="1">
      <alignment horizontal="left"/>
    </xf>
    <xf numFmtId="0" fontId="0" fillId="0" borderId="27" xfId="0" applyBorder="1" applyAlignment="1">
      <alignment horizontal="left"/>
    </xf>
    <xf numFmtId="0" fontId="0" fillId="0" borderId="18" xfId="0" applyBorder="1" applyAlignment="1">
      <alignment horizontal="left"/>
    </xf>
    <xf numFmtId="178" fontId="7" fillId="30" borderId="6" xfId="71" applyNumberFormat="1" applyFont="1" applyFill="1" applyBorder="1" applyAlignment="1" applyProtection="1">
      <alignment vertical="center"/>
      <protection locked="0" hidden="1"/>
    </xf>
    <xf numFmtId="179" fontId="7" fillId="30" borderId="6" xfId="71" applyNumberFormat="1" applyFont="1" applyFill="1" applyBorder="1" applyAlignment="1" applyProtection="1">
      <alignment vertical="center"/>
      <protection locked="0" hidden="1"/>
    </xf>
    <xf numFmtId="182" fontId="7" fillId="0" borderId="37" xfId="71" applyNumberFormat="1" applyFont="1" applyFill="1" applyBorder="1" applyAlignment="1" applyProtection="1">
      <alignment vertical="center"/>
      <protection locked="0"/>
    </xf>
    <xf numFmtId="182" fontId="7" fillId="0" borderId="32" xfId="71" applyNumberFormat="1" applyFont="1" applyFill="1" applyBorder="1" applyAlignment="1" applyProtection="1">
      <alignment vertical="center"/>
      <protection locked="0"/>
    </xf>
    <xf numFmtId="182" fontId="7" fillId="0" borderId="32" xfId="71" quotePrefix="1" applyNumberFormat="1" applyFont="1" applyFill="1" applyBorder="1" applyAlignment="1" applyProtection="1">
      <alignment vertical="center"/>
      <protection locked="0"/>
    </xf>
    <xf numFmtId="178" fontId="73" fillId="0" borderId="4" xfId="71" applyNumberFormat="1" applyFont="1" applyFill="1" applyBorder="1" applyAlignment="1" applyProtection="1">
      <alignment vertical="center"/>
      <protection hidden="1"/>
    </xf>
    <xf numFmtId="181" fontId="73" fillId="0" borderId="18" xfId="71" applyNumberFormat="1" applyFont="1" applyFill="1" applyBorder="1" applyAlignment="1" applyProtection="1">
      <alignment vertical="center"/>
      <protection hidden="1"/>
    </xf>
    <xf numFmtId="178" fontId="7" fillId="0" borderId="36" xfId="69" applyNumberFormat="1" applyFont="1" applyFill="1" applyBorder="1" applyAlignment="1" applyProtection="1">
      <alignment vertical="center"/>
      <protection locked="0"/>
    </xf>
    <xf numFmtId="181" fontId="7" fillId="0" borderId="27" xfId="69" applyNumberFormat="1" applyFont="1" applyFill="1" applyBorder="1" applyAlignment="1" applyProtection="1">
      <alignment vertical="center"/>
      <protection locked="0"/>
    </xf>
    <xf numFmtId="179" fontId="7" fillId="0" borderId="27" xfId="69" applyNumberFormat="1" applyFont="1" applyFill="1" applyBorder="1" applyAlignment="1" applyProtection="1">
      <alignment vertical="center"/>
      <protection locked="0"/>
    </xf>
    <xf numFmtId="3" fontId="7" fillId="0" borderId="27" xfId="69" applyNumberFormat="1" applyFont="1" applyFill="1" applyBorder="1" applyAlignment="1" applyProtection="1">
      <alignment vertical="center"/>
      <protection locked="0"/>
    </xf>
  </cellXfs>
  <cellStyles count="90">
    <cellStyle name="20% - Colore 1" xfId="1" builtinId="30" customBuiltin="1"/>
    <cellStyle name="20% - Colore 1 2" xfId="2" xr:uid="{00000000-0005-0000-0000-000001000000}"/>
    <cellStyle name="20% - Colore 1 2 2" xfId="3" xr:uid="{00000000-0005-0000-0000-000002000000}"/>
    <cellStyle name="20% - Colore 1 3" xfId="4" xr:uid="{00000000-0005-0000-0000-000003000000}"/>
    <cellStyle name="20% - Colore 2" xfId="5" builtinId="34" customBuiltin="1"/>
    <cellStyle name="20% - Colore 2 2" xfId="6" xr:uid="{00000000-0005-0000-0000-000005000000}"/>
    <cellStyle name="20% - Colore 2 2 2" xfId="7" xr:uid="{00000000-0005-0000-0000-000006000000}"/>
    <cellStyle name="20% - Colore 2 3" xfId="8" xr:uid="{00000000-0005-0000-0000-000007000000}"/>
    <cellStyle name="20% - Colore 3" xfId="9" builtinId="38" customBuiltin="1"/>
    <cellStyle name="20% - Colore 3 2" xfId="10" xr:uid="{00000000-0005-0000-0000-000009000000}"/>
    <cellStyle name="20% - Colore 3 2 2" xfId="11" xr:uid="{00000000-0005-0000-0000-00000A000000}"/>
    <cellStyle name="20% - Colore 3 3" xfId="12" xr:uid="{00000000-0005-0000-0000-00000B000000}"/>
    <cellStyle name="20% - Colore 4" xfId="13" builtinId="42" customBuiltin="1"/>
    <cellStyle name="20% - Colore 4 2" xfId="14" xr:uid="{00000000-0005-0000-0000-00000D000000}"/>
    <cellStyle name="20% - Colore 4 2 2" xfId="15" xr:uid="{00000000-0005-0000-0000-00000E000000}"/>
    <cellStyle name="20% - Colore 4 3" xfId="16" xr:uid="{00000000-0005-0000-0000-00000F000000}"/>
    <cellStyle name="20% - Colore 5" xfId="17" builtinId="46" customBuiltin="1"/>
    <cellStyle name="20% - Colore 5 2" xfId="18" xr:uid="{00000000-0005-0000-0000-000011000000}"/>
    <cellStyle name="20% - Colore 5 2 2" xfId="19" xr:uid="{00000000-0005-0000-0000-000012000000}"/>
    <cellStyle name="20% - Colore 5 3" xfId="20" xr:uid="{00000000-0005-0000-0000-000013000000}"/>
    <cellStyle name="20% - Colore 6" xfId="21" builtinId="50" customBuiltin="1"/>
    <cellStyle name="20% - Colore 6 2" xfId="22" xr:uid="{00000000-0005-0000-0000-000015000000}"/>
    <cellStyle name="20% - Colore 6 2 2" xfId="23" xr:uid="{00000000-0005-0000-0000-000016000000}"/>
    <cellStyle name="20% - Colore 6 3" xfId="24" xr:uid="{00000000-0005-0000-0000-000017000000}"/>
    <cellStyle name="40% - Colore 1" xfId="25" builtinId="31" customBuiltin="1"/>
    <cellStyle name="40% - Colore 1 2" xfId="26" xr:uid="{00000000-0005-0000-0000-000019000000}"/>
    <cellStyle name="40% - Colore 1 2 2" xfId="27" xr:uid="{00000000-0005-0000-0000-00001A000000}"/>
    <cellStyle name="40% - Colore 1 3" xfId="28" xr:uid="{00000000-0005-0000-0000-00001B000000}"/>
    <cellStyle name="40% - Colore 2" xfId="29" builtinId="35" customBuiltin="1"/>
    <cellStyle name="40% - Colore 2 2" xfId="30" xr:uid="{00000000-0005-0000-0000-00001D000000}"/>
    <cellStyle name="40% - Colore 2 2 2" xfId="31" xr:uid="{00000000-0005-0000-0000-00001E000000}"/>
    <cellStyle name="40% - Colore 2 3" xfId="32" xr:uid="{00000000-0005-0000-0000-00001F000000}"/>
    <cellStyle name="40% - Colore 3" xfId="33" builtinId="39" customBuiltin="1"/>
    <cellStyle name="40% - Colore 3 2" xfId="34" xr:uid="{00000000-0005-0000-0000-000021000000}"/>
    <cellStyle name="40% - Colore 3 2 2" xfId="35" xr:uid="{00000000-0005-0000-0000-000022000000}"/>
    <cellStyle name="40% - Colore 3 3" xfId="36" xr:uid="{00000000-0005-0000-0000-000023000000}"/>
    <cellStyle name="40% - Colore 4" xfId="37" builtinId="43" customBuiltin="1"/>
    <cellStyle name="40% - Colore 4 2" xfId="38" xr:uid="{00000000-0005-0000-0000-000025000000}"/>
    <cellStyle name="40% - Colore 4 2 2" xfId="39" xr:uid="{00000000-0005-0000-0000-000026000000}"/>
    <cellStyle name="40% - Colore 4 3" xfId="40" xr:uid="{00000000-0005-0000-0000-000027000000}"/>
    <cellStyle name="40% - Colore 5" xfId="41" builtinId="47" customBuiltin="1"/>
    <cellStyle name="40% - Colore 5 2" xfId="42" xr:uid="{00000000-0005-0000-0000-000029000000}"/>
    <cellStyle name="40% - Colore 5 2 2" xfId="43" xr:uid="{00000000-0005-0000-0000-00002A000000}"/>
    <cellStyle name="40% - Colore 5 3" xfId="44" xr:uid="{00000000-0005-0000-0000-00002B000000}"/>
    <cellStyle name="40% - Colore 6" xfId="45" builtinId="51" customBuiltin="1"/>
    <cellStyle name="40% - Colore 6 2" xfId="46" xr:uid="{00000000-0005-0000-0000-00002D000000}"/>
    <cellStyle name="40% - Colore 6 2 2" xfId="47" xr:uid="{00000000-0005-0000-0000-00002E000000}"/>
    <cellStyle name="40% - Colore 6 3" xfId="48" xr:uid="{00000000-0005-0000-0000-00002F000000}"/>
    <cellStyle name="60% - Colore 1" xfId="49" builtinId="32" customBuiltin="1"/>
    <cellStyle name="60% - Colore 2" xfId="50" builtinId="36" customBuiltin="1"/>
    <cellStyle name="60% - Colore 3" xfId="51" builtinId="40" customBuiltin="1"/>
    <cellStyle name="60% - Colore 4" xfId="52" builtinId="44" customBuiltin="1"/>
    <cellStyle name="60% - Colore 5" xfId="53" builtinId="48" customBuiltin="1"/>
    <cellStyle name="60% - Colore 6" xfId="54" builtinId="52" customBuiltin="1"/>
    <cellStyle name="Calcolo" xfId="55" builtinId="22" customBuiltin="1"/>
    <cellStyle name="Cella collegata" xfId="56" builtinId="24" customBuiltin="1"/>
    <cellStyle name="Cella da controllare" xfId="57" builtinId="23" customBuiltin="1"/>
    <cellStyle name="Collegamento ipertestuale" xfId="58" builtinId="8"/>
    <cellStyle name="Colore 1" xfId="59" builtinId="29" customBuiltin="1"/>
    <cellStyle name="Colore 2" xfId="60" builtinId="33" customBuiltin="1"/>
    <cellStyle name="Colore 3" xfId="61" builtinId="37" customBuiltin="1"/>
    <cellStyle name="Colore 4" xfId="62" builtinId="41" customBuiltin="1"/>
    <cellStyle name="Colore 5" xfId="63" builtinId="45" customBuiltin="1"/>
    <cellStyle name="Colore 6" xfId="64" builtinId="49" customBuiltin="1"/>
    <cellStyle name="Input" xfId="65" builtinId="20" customBuiltin="1"/>
    <cellStyle name="IntestazioneColonne" xfId="66" xr:uid="{00000000-0005-0000-0000-000041000000}"/>
    <cellStyle name="LabelRiga" xfId="67" xr:uid="{00000000-0005-0000-0000-000042000000}"/>
    <cellStyle name="LabelTabella" xfId="68" xr:uid="{00000000-0005-0000-0000-000043000000}"/>
    <cellStyle name="MetriCubi" xfId="69" xr:uid="{00000000-0005-0000-0000-000044000000}"/>
    <cellStyle name="MetriCubi 2" xfId="70" xr:uid="{00000000-0005-0000-0000-000045000000}"/>
    <cellStyle name="MetriQuadrati" xfId="71" xr:uid="{00000000-0005-0000-0000-000046000000}"/>
    <cellStyle name="MetriQuadrati 2" xfId="72" xr:uid="{00000000-0005-0000-0000-000047000000}"/>
    <cellStyle name="Migliaia" xfId="73" builtinId="3"/>
    <cellStyle name="Neutrale" xfId="74" builtinId="28" customBuiltin="1"/>
    <cellStyle name="Normale" xfId="0" builtinId="0"/>
    <cellStyle name="Normale 2" xfId="75" xr:uid="{00000000-0005-0000-0000-00004B000000}"/>
    <cellStyle name="Normale_Copia di costo costruzione" xfId="76" xr:uid="{00000000-0005-0000-0000-00004C000000}"/>
    <cellStyle name="Nota" xfId="77" builtinId="10" customBuiltin="1"/>
    <cellStyle name="Output" xfId="78" builtinId="21" customBuiltin="1"/>
    <cellStyle name="Percentuale" xfId="79" builtinId="5"/>
    <cellStyle name="Testo avviso" xfId="80" builtinId="11" customBuiltin="1"/>
    <cellStyle name="Testo descrittivo" xfId="81" builtinId="53" customBuiltin="1"/>
    <cellStyle name="Titolo" xfId="82" builtinId="15" customBuiltin="1"/>
    <cellStyle name="Titolo 1" xfId="83" builtinId="16" customBuiltin="1"/>
    <cellStyle name="Titolo 2" xfId="84" builtinId="17" customBuiltin="1"/>
    <cellStyle name="Titolo 3" xfId="85" builtinId="18" customBuiltin="1"/>
    <cellStyle name="Titolo 4" xfId="86" builtinId="19" customBuiltin="1"/>
    <cellStyle name="Totale" xfId="87" builtinId="25" customBuiltin="1"/>
    <cellStyle name="Valore non valido" xfId="88" builtinId="27" customBuiltin="1"/>
    <cellStyle name="Valore valido" xfId="89" builtinId="26" customBuiltin="1"/>
  </cellStyles>
  <dxfs count="141">
    <dxf>
      <fill>
        <patternFill>
          <bgColor theme="0"/>
        </patternFill>
      </fill>
    </dxf>
    <dxf>
      <fill>
        <patternFill>
          <bgColor theme="0"/>
        </patternFill>
      </fill>
    </dxf>
    <dxf>
      <font>
        <color rgb="FFD9D9D9"/>
      </font>
      <fill>
        <patternFill>
          <bgColor rgb="FFD9D9D9"/>
        </patternFill>
      </fill>
    </dxf>
    <dxf>
      <fill>
        <patternFill>
          <bgColor rgb="FFFF7D7D"/>
        </patternFill>
      </fill>
    </dxf>
    <dxf>
      <fill>
        <patternFill>
          <bgColor rgb="FFFF7D7D"/>
        </patternFill>
      </fill>
    </dxf>
    <dxf>
      <fill>
        <patternFill>
          <bgColor theme="0"/>
        </patternFill>
      </fill>
    </dxf>
    <dxf>
      <fill>
        <patternFill>
          <bgColor theme="0"/>
        </patternFill>
      </fill>
    </dxf>
    <dxf>
      <fill>
        <patternFill>
          <bgColor theme="0"/>
        </patternFill>
      </fill>
    </dxf>
    <dxf>
      <fill>
        <patternFill>
          <bgColor rgb="FFD9D9D9"/>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dxf>
    <dxf>
      <fill>
        <patternFill>
          <bgColor theme="0" tint="-0.14996795556505021"/>
        </patternFill>
      </fill>
    </dxf>
    <dxf>
      <font>
        <color theme="0" tint="-0.14996795556505021"/>
      </font>
    </dxf>
    <dxf>
      <font>
        <color theme="0" tint="-0.14996795556505021"/>
      </font>
    </dxf>
    <dxf>
      <font>
        <color theme="0" tint="-0.14996795556505021"/>
      </font>
    </dxf>
    <dxf>
      <font>
        <color theme="0"/>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99FF99"/>
        </patternFill>
      </fill>
    </dxf>
    <dxf>
      <fill>
        <patternFill>
          <bgColor rgb="FFFFFF99"/>
        </patternFill>
      </fill>
    </dxf>
    <dxf>
      <fill>
        <patternFill>
          <bgColor rgb="FF99FF99"/>
        </patternFill>
      </fill>
    </dxf>
    <dxf>
      <fill>
        <patternFill>
          <bgColor rgb="FF99FF99"/>
        </patternFill>
      </fill>
    </dxf>
    <dxf>
      <fill>
        <patternFill>
          <bgColor rgb="FFFFFF99"/>
        </patternFill>
      </fill>
    </dxf>
    <dxf>
      <fill>
        <patternFill>
          <bgColor rgb="FF99FF99"/>
        </patternFill>
      </fill>
    </dxf>
    <dxf>
      <fill>
        <patternFill>
          <bgColor rgb="FF99FF99"/>
        </patternFill>
      </fill>
    </dxf>
    <dxf>
      <fill>
        <patternFill>
          <bgColor rgb="FFFFFF99"/>
        </patternFill>
      </fill>
    </dxf>
    <dxf>
      <fill>
        <patternFill>
          <bgColor rgb="FF99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FFFF99"/>
        </patternFill>
      </fill>
    </dxf>
    <dxf>
      <fill>
        <patternFill>
          <bgColor rgb="FF99FF99"/>
        </patternFill>
      </fill>
    </dxf>
    <dxf>
      <fill>
        <patternFill>
          <bgColor rgb="FF99FF99"/>
        </patternFill>
      </fill>
    </dxf>
    <dxf>
      <fill>
        <patternFill>
          <bgColor rgb="FF99FF99"/>
        </patternFill>
      </fill>
    </dxf>
    <dxf>
      <fill>
        <patternFill>
          <bgColor rgb="FFFFFF9B"/>
        </patternFill>
      </fill>
    </dxf>
    <dxf>
      <fill>
        <patternFill>
          <bgColor rgb="FFFFFF9B"/>
        </patternFill>
      </fill>
    </dxf>
    <dxf>
      <fill>
        <patternFill>
          <bgColor rgb="FFFFFF9B"/>
        </patternFill>
      </fill>
    </dxf>
    <dxf>
      <fill>
        <patternFill>
          <bgColor rgb="FFFFFF9B"/>
        </patternFill>
      </fill>
    </dxf>
    <dxf>
      <fill>
        <patternFill>
          <bgColor rgb="FFFFFF9B"/>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BDBDB"/>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link_oneri_urbanizzazione_cambio_uso"/><Relationship Id="rId13" Type="http://schemas.openxmlformats.org/officeDocument/2006/relationships/hyperlink" Target="#'Costo costruzione progetto'!A1"/><Relationship Id="rId3" Type="http://schemas.openxmlformats.org/officeDocument/2006/relationships/image" Target="../media/image2.png"/><Relationship Id="rId7" Type="http://schemas.openxmlformats.org/officeDocument/2006/relationships/hyperlink" Target="#'Costo costruzione statofatto'!A1"/><Relationship Id="rId12" Type="http://schemas.openxmlformats.org/officeDocument/2006/relationships/hyperlink" Target="#'Costo Costruzione'!A1"/><Relationship Id="rId2" Type="http://schemas.openxmlformats.org/officeDocument/2006/relationships/image" Target="../media/image1.jpeg"/><Relationship Id="rId1" Type="http://schemas.openxmlformats.org/officeDocument/2006/relationships/hyperlink" Target="#link_monetizzazione_standards"/><Relationship Id="rId6" Type="http://schemas.openxmlformats.org/officeDocument/2006/relationships/hyperlink" Target="#'Determinazione classe'!A1"/><Relationship Id="rId11" Type="http://schemas.openxmlformats.org/officeDocument/2006/relationships/image" Target="../media/image4.png"/><Relationship Id="rId5" Type="http://schemas.openxmlformats.org/officeDocument/2006/relationships/hyperlink" Target="#link_oneri_urbanizzazione"/><Relationship Id="rId15" Type="http://schemas.openxmlformats.org/officeDocument/2006/relationships/hyperlink" Target="#'Calcolo superfici edificio'!A1"/><Relationship Id="rId10" Type="http://schemas.openxmlformats.org/officeDocument/2006/relationships/hyperlink" Target="#'Riepilogo oneri e costi'!A1"/><Relationship Id="rId4" Type="http://schemas.openxmlformats.org/officeDocument/2006/relationships/image" Target="../media/image3.png"/><Relationship Id="rId9" Type="http://schemas.openxmlformats.org/officeDocument/2006/relationships/hyperlink" Target="#'Riepilogo generale'!A1"/><Relationship Id="rId14" Type="http://schemas.openxmlformats.org/officeDocument/2006/relationships/hyperlink" Target="#'Calcolo superficie parcheggio'!A1"/></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_rels/drawing11.xml.rels><?xml version="1.0" encoding="UTF-8" standalone="yes"?>
<Relationships xmlns="http://schemas.openxmlformats.org/package/2006/relationships"><Relationship Id="rId2" Type="http://schemas.openxmlformats.org/officeDocument/2006/relationships/hyperlink" Target="#'Procedura guidata'!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hyperlink" Target="#'Procedura guidata'!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cedura guidata'!A1"/></Relationships>
</file>

<file path=xl/drawings/drawing1.xml><?xml version="1.0" encoding="utf-8"?>
<xdr:wsDr xmlns:xdr="http://schemas.openxmlformats.org/drawingml/2006/spreadsheetDrawing" xmlns:a="http://schemas.openxmlformats.org/drawingml/2006/main">
  <xdr:twoCellAnchor editAs="oneCell">
    <xdr:from>
      <xdr:col>49</xdr:col>
      <xdr:colOff>38100</xdr:colOff>
      <xdr:row>14</xdr:row>
      <xdr:rowOff>76200</xdr:rowOff>
    </xdr:from>
    <xdr:to>
      <xdr:col>50</xdr:col>
      <xdr:colOff>228600</xdr:colOff>
      <xdr:row>16</xdr:row>
      <xdr:rowOff>114300</xdr:rowOff>
    </xdr:to>
    <xdr:pic>
      <xdr:nvPicPr>
        <xdr:cNvPr id="1221" name="Immagine 15">
          <a:hlinkClick xmlns:r="http://schemas.openxmlformats.org/officeDocument/2006/relationships" r:id="rId1"/>
          <a:extLst>
            <a:ext uri="{FF2B5EF4-FFF2-40B4-BE49-F238E27FC236}">
              <a16:creationId xmlns:a16="http://schemas.microsoft.com/office/drawing/2014/main" id="{00000000-0008-0000-0000-0000C5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58700" y="2371725"/>
          <a:ext cx="409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171450</xdr:colOff>
      <xdr:row>51</xdr:row>
      <xdr:rowOff>85725</xdr:rowOff>
    </xdr:from>
    <xdr:to>
      <xdr:col>32</xdr:col>
      <xdr:colOff>266700</xdr:colOff>
      <xdr:row>53</xdr:row>
      <xdr:rowOff>38100</xdr:rowOff>
    </xdr:to>
    <xdr:pic>
      <xdr:nvPicPr>
        <xdr:cNvPr id="1222" name="Immagine 16">
          <a:extLst>
            <a:ext uri="{FF2B5EF4-FFF2-40B4-BE49-F238E27FC236}">
              <a16:creationId xmlns:a16="http://schemas.microsoft.com/office/drawing/2014/main" id="{00000000-0008-0000-0000-0000C60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05775" y="7419975"/>
          <a:ext cx="276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171450</xdr:colOff>
      <xdr:row>2</xdr:row>
      <xdr:rowOff>28575</xdr:rowOff>
    </xdr:from>
    <xdr:to>
      <xdr:col>29</xdr:col>
      <xdr:colOff>0</xdr:colOff>
      <xdr:row>5</xdr:row>
      <xdr:rowOff>0</xdr:rowOff>
    </xdr:to>
    <xdr:pic>
      <xdr:nvPicPr>
        <xdr:cNvPr id="1223" name="Immagine 2">
          <a:extLst>
            <a:ext uri="{FF2B5EF4-FFF2-40B4-BE49-F238E27FC236}">
              <a16:creationId xmlns:a16="http://schemas.microsoft.com/office/drawing/2014/main" id="{00000000-0008-0000-0000-0000C7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81825" y="38100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66675</xdr:colOff>
      <xdr:row>10</xdr:row>
      <xdr:rowOff>66675</xdr:rowOff>
    </xdr:from>
    <xdr:to>
      <xdr:col>8</xdr:col>
      <xdr:colOff>104775</xdr:colOff>
      <xdr:row>12</xdr:row>
      <xdr:rowOff>104775</xdr:rowOff>
    </xdr:to>
    <xdr:pic>
      <xdr:nvPicPr>
        <xdr:cNvPr id="1224" name="Immagine 3">
          <a:hlinkClick xmlns:r="http://schemas.openxmlformats.org/officeDocument/2006/relationships" r:id="rId5"/>
          <a:extLst>
            <a:ext uri="{FF2B5EF4-FFF2-40B4-BE49-F238E27FC236}">
              <a16:creationId xmlns:a16="http://schemas.microsoft.com/office/drawing/2014/main" id="{00000000-0008-0000-0000-0000C8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85925" y="17145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180975</xdr:colOff>
      <xdr:row>20</xdr:row>
      <xdr:rowOff>85725</xdr:rowOff>
    </xdr:from>
    <xdr:to>
      <xdr:col>7</xdr:col>
      <xdr:colOff>342900</xdr:colOff>
      <xdr:row>22</xdr:row>
      <xdr:rowOff>123825</xdr:rowOff>
    </xdr:to>
    <xdr:pic>
      <xdr:nvPicPr>
        <xdr:cNvPr id="1225" name="Immagine 4">
          <a:hlinkClick xmlns:r="http://schemas.openxmlformats.org/officeDocument/2006/relationships" r:id="rId6"/>
          <a:extLst>
            <a:ext uri="{FF2B5EF4-FFF2-40B4-BE49-F238E27FC236}">
              <a16:creationId xmlns:a16="http://schemas.microsoft.com/office/drawing/2014/main" id="{00000000-0008-0000-0000-0000C9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52575" y="3352800"/>
          <a:ext cx="409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29</xdr:row>
      <xdr:rowOff>66675</xdr:rowOff>
    </xdr:from>
    <xdr:to>
      <xdr:col>8</xdr:col>
      <xdr:colOff>142875</xdr:colOff>
      <xdr:row>31</xdr:row>
      <xdr:rowOff>104775</xdr:rowOff>
    </xdr:to>
    <xdr:pic>
      <xdr:nvPicPr>
        <xdr:cNvPr id="1226" name="Immagine 7">
          <a:hlinkClick xmlns:r="http://schemas.openxmlformats.org/officeDocument/2006/relationships" r:id="rId1"/>
          <a:extLst>
            <a:ext uri="{FF2B5EF4-FFF2-40B4-BE49-F238E27FC236}">
              <a16:creationId xmlns:a16="http://schemas.microsoft.com/office/drawing/2014/main" id="{00000000-0008-0000-0000-0000CA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24025" y="4791075"/>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152400</xdr:colOff>
      <xdr:row>10</xdr:row>
      <xdr:rowOff>47625</xdr:rowOff>
    </xdr:from>
    <xdr:to>
      <xdr:col>28</xdr:col>
      <xdr:colOff>190500</xdr:colOff>
      <xdr:row>12</xdr:row>
      <xdr:rowOff>85725</xdr:rowOff>
    </xdr:to>
    <xdr:pic>
      <xdr:nvPicPr>
        <xdr:cNvPr id="1227" name="Immagine 8">
          <a:hlinkClick xmlns:r="http://schemas.openxmlformats.org/officeDocument/2006/relationships" r:id="rId5"/>
          <a:extLst>
            <a:ext uri="{FF2B5EF4-FFF2-40B4-BE49-F238E27FC236}">
              <a16:creationId xmlns:a16="http://schemas.microsoft.com/office/drawing/2014/main" id="{00000000-0008-0000-0000-0000CB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962775" y="16954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152400</xdr:colOff>
      <xdr:row>20</xdr:row>
      <xdr:rowOff>66675</xdr:rowOff>
    </xdr:from>
    <xdr:to>
      <xdr:col>27</xdr:col>
      <xdr:colOff>361950</xdr:colOff>
      <xdr:row>22</xdr:row>
      <xdr:rowOff>104775</xdr:rowOff>
    </xdr:to>
    <xdr:pic>
      <xdr:nvPicPr>
        <xdr:cNvPr id="1228" name="Immagine 9">
          <a:hlinkClick xmlns:r="http://schemas.openxmlformats.org/officeDocument/2006/relationships" r:id="rId6"/>
          <a:extLst>
            <a:ext uri="{FF2B5EF4-FFF2-40B4-BE49-F238E27FC236}">
              <a16:creationId xmlns:a16="http://schemas.microsoft.com/office/drawing/2014/main" id="{00000000-0008-0000-0000-0000CC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43700" y="333375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171450</xdr:colOff>
      <xdr:row>32</xdr:row>
      <xdr:rowOff>66675</xdr:rowOff>
    </xdr:from>
    <xdr:to>
      <xdr:col>28</xdr:col>
      <xdr:colOff>0</xdr:colOff>
      <xdr:row>34</xdr:row>
      <xdr:rowOff>104775</xdr:rowOff>
    </xdr:to>
    <xdr:pic>
      <xdr:nvPicPr>
        <xdr:cNvPr id="1229" name="Immagine 10">
          <a:hlinkClick xmlns:r="http://schemas.openxmlformats.org/officeDocument/2006/relationships" r:id="rId7"/>
          <a:extLst>
            <a:ext uri="{FF2B5EF4-FFF2-40B4-BE49-F238E27FC236}">
              <a16:creationId xmlns:a16="http://schemas.microsoft.com/office/drawing/2014/main" id="{00000000-0008-0000-0000-0000CD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0" y="527685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142875</xdr:colOff>
      <xdr:row>10</xdr:row>
      <xdr:rowOff>66675</xdr:rowOff>
    </xdr:from>
    <xdr:to>
      <xdr:col>39</xdr:col>
      <xdr:colOff>180975</xdr:colOff>
      <xdr:row>12</xdr:row>
      <xdr:rowOff>104775</xdr:rowOff>
    </xdr:to>
    <xdr:pic>
      <xdr:nvPicPr>
        <xdr:cNvPr id="1230" name="Immagine 12">
          <a:hlinkClick xmlns:r="http://schemas.openxmlformats.org/officeDocument/2006/relationships" r:id="rId5"/>
          <a:extLst>
            <a:ext uri="{FF2B5EF4-FFF2-40B4-BE49-F238E27FC236}">
              <a16:creationId xmlns:a16="http://schemas.microsoft.com/office/drawing/2014/main" id="{00000000-0008-0000-0000-0000CE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696450" y="17145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171450</xdr:colOff>
      <xdr:row>20</xdr:row>
      <xdr:rowOff>85725</xdr:rowOff>
    </xdr:from>
    <xdr:to>
      <xdr:col>39</xdr:col>
      <xdr:colOff>0</xdr:colOff>
      <xdr:row>22</xdr:row>
      <xdr:rowOff>123825</xdr:rowOff>
    </xdr:to>
    <xdr:pic>
      <xdr:nvPicPr>
        <xdr:cNvPr id="1231" name="Immagine 13">
          <a:hlinkClick xmlns:r="http://schemas.openxmlformats.org/officeDocument/2006/relationships" r:id="rId6"/>
          <a:extLst>
            <a:ext uri="{FF2B5EF4-FFF2-40B4-BE49-F238E27FC236}">
              <a16:creationId xmlns:a16="http://schemas.microsoft.com/office/drawing/2014/main" id="{00000000-0008-0000-0000-0000CF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05950" y="335280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28575</xdr:colOff>
      <xdr:row>10</xdr:row>
      <xdr:rowOff>57150</xdr:rowOff>
    </xdr:from>
    <xdr:to>
      <xdr:col>50</xdr:col>
      <xdr:colOff>219075</xdr:colOff>
      <xdr:row>12</xdr:row>
      <xdr:rowOff>95250</xdr:rowOff>
    </xdr:to>
    <xdr:pic>
      <xdr:nvPicPr>
        <xdr:cNvPr id="1232" name="Immagine 15">
          <a:hlinkClick xmlns:r="http://schemas.openxmlformats.org/officeDocument/2006/relationships" r:id="rId8"/>
          <a:extLst>
            <a:ext uri="{FF2B5EF4-FFF2-40B4-BE49-F238E27FC236}">
              <a16:creationId xmlns:a16="http://schemas.microsoft.com/office/drawing/2014/main" id="{00000000-0008-0000-0000-0000D0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49175" y="1704975"/>
          <a:ext cx="409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190500</xdr:colOff>
      <xdr:row>50</xdr:row>
      <xdr:rowOff>9525</xdr:rowOff>
    </xdr:from>
    <xdr:to>
      <xdr:col>24</xdr:col>
      <xdr:colOff>190500</xdr:colOff>
      <xdr:row>52</xdr:row>
      <xdr:rowOff>152400</xdr:rowOff>
    </xdr:to>
    <xdr:pic>
      <xdr:nvPicPr>
        <xdr:cNvPr id="1233" name="Immagine 16">
          <a:hlinkClick xmlns:r="http://schemas.openxmlformats.org/officeDocument/2006/relationships" r:id="rId9"/>
          <a:extLst>
            <a:ext uri="{FF2B5EF4-FFF2-40B4-BE49-F238E27FC236}">
              <a16:creationId xmlns:a16="http://schemas.microsoft.com/office/drawing/2014/main" id="{00000000-0008-0000-0000-0000D10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76925" y="7172325"/>
          <a:ext cx="4667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50</xdr:row>
      <xdr:rowOff>19050</xdr:rowOff>
    </xdr:from>
    <xdr:to>
      <xdr:col>32</xdr:col>
      <xdr:colOff>285750</xdr:colOff>
      <xdr:row>52</xdr:row>
      <xdr:rowOff>152400</xdr:rowOff>
    </xdr:to>
    <xdr:pic>
      <xdr:nvPicPr>
        <xdr:cNvPr id="1234" name="Immagine 18">
          <a:hlinkClick xmlns:r="http://schemas.openxmlformats.org/officeDocument/2006/relationships" r:id="rId10"/>
          <a:extLst>
            <a:ext uri="{FF2B5EF4-FFF2-40B4-BE49-F238E27FC236}">
              <a16:creationId xmlns:a16="http://schemas.microsoft.com/office/drawing/2014/main" id="{00000000-0008-0000-0000-0000D20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934325" y="7181850"/>
          <a:ext cx="4667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180975</xdr:colOff>
      <xdr:row>24</xdr:row>
      <xdr:rowOff>66675</xdr:rowOff>
    </xdr:from>
    <xdr:to>
      <xdr:col>7</xdr:col>
      <xdr:colOff>342900</xdr:colOff>
      <xdr:row>26</xdr:row>
      <xdr:rowOff>104775</xdr:rowOff>
    </xdr:to>
    <xdr:pic>
      <xdr:nvPicPr>
        <xdr:cNvPr id="1235" name="Immagine 4">
          <a:hlinkClick xmlns:r="http://schemas.openxmlformats.org/officeDocument/2006/relationships" r:id="rId12"/>
          <a:extLst>
            <a:ext uri="{FF2B5EF4-FFF2-40B4-BE49-F238E27FC236}">
              <a16:creationId xmlns:a16="http://schemas.microsoft.com/office/drawing/2014/main" id="{00000000-0008-0000-0000-0000D3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52575" y="3981450"/>
          <a:ext cx="409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171450</xdr:colOff>
      <xdr:row>24</xdr:row>
      <xdr:rowOff>57150</xdr:rowOff>
    </xdr:from>
    <xdr:to>
      <xdr:col>28</xdr:col>
      <xdr:colOff>0</xdr:colOff>
      <xdr:row>26</xdr:row>
      <xdr:rowOff>95250</xdr:rowOff>
    </xdr:to>
    <xdr:pic>
      <xdr:nvPicPr>
        <xdr:cNvPr id="1236" name="Immagine 9">
          <a:hlinkClick xmlns:r="http://schemas.openxmlformats.org/officeDocument/2006/relationships" r:id="rId12"/>
          <a:extLst>
            <a:ext uri="{FF2B5EF4-FFF2-40B4-BE49-F238E27FC236}">
              <a16:creationId xmlns:a16="http://schemas.microsoft.com/office/drawing/2014/main" id="{00000000-0008-0000-0000-0000D4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0" y="3971925"/>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171450</xdr:colOff>
      <xdr:row>24</xdr:row>
      <xdr:rowOff>57150</xdr:rowOff>
    </xdr:from>
    <xdr:to>
      <xdr:col>39</xdr:col>
      <xdr:colOff>0</xdr:colOff>
      <xdr:row>26</xdr:row>
      <xdr:rowOff>95250</xdr:rowOff>
    </xdr:to>
    <xdr:pic>
      <xdr:nvPicPr>
        <xdr:cNvPr id="1237" name="Immagine 13">
          <a:hlinkClick xmlns:r="http://schemas.openxmlformats.org/officeDocument/2006/relationships" r:id="rId12"/>
          <a:extLst>
            <a:ext uri="{FF2B5EF4-FFF2-40B4-BE49-F238E27FC236}">
              <a16:creationId xmlns:a16="http://schemas.microsoft.com/office/drawing/2014/main" id="{00000000-0008-0000-0000-0000D5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05950" y="3971925"/>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171450</xdr:colOff>
      <xdr:row>36</xdr:row>
      <xdr:rowOff>47625</xdr:rowOff>
    </xdr:from>
    <xdr:to>
      <xdr:col>28</xdr:col>
      <xdr:colOff>0</xdr:colOff>
      <xdr:row>38</xdr:row>
      <xdr:rowOff>85725</xdr:rowOff>
    </xdr:to>
    <xdr:pic>
      <xdr:nvPicPr>
        <xdr:cNvPr id="1238" name="Immagine 10">
          <a:hlinkClick xmlns:r="http://schemas.openxmlformats.org/officeDocument/2006/relationships" r:id="rId13"/>
          <a:extLst>
            <a:ext uri="{FF2B5EF4-FFF2-40B4-BE49-F238E27FC236}">
              <a16:creationId xmlns:a16="http://schemas.microsoft.com/office/drawing/2014/main" id="{00000000-0008-0000-0000-0000D6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0" y="590550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219075</xdr:colOff>
      <xdr:row>29</xdr:row>
      <xdr:rowOff>47625</xdr:rowOff>
    </xdr:from>
    <xdr:to>
      <xdr:col>40</xdr:col>
      <xdr:colOff>19050</xdr:colOff>
      <xdr:row>31</xdr:row>
      <xdr:rowOff>85725</xdr:rowOff>
    </xdr:to>
    <xdr:pic>
      <xdr:nvPicPr>
        <xdr:cNvPr id="1239" name="Immagine 13">
          <a:hlinkClick xmlns:r="http://schemas.openxmlformats.org/officeDocument/2006/relationships" r:id="rId14"/>
          <a:extLst>
            <a:ext uri="{FF2B5EF4-FFF2-40B4-BE49-F238E27FC236}">
              <a16:creationId xmlns:a16="http://schemas.microsoft.com/office/drawing/2014/main" id="{00000000-0008-0000-0000-0000D7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72650" y="4772025"/>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209550</xdr:colOff>
      <xdr:row>33</xdr:row>
      <xdr:rowOff>57150</xdr:rowOff>
    </xdr:from>
    <xdr:to>
      <xdr:col>40</xdr:col>
      <xdr:colOff>0</xdr:colOff>
      <xdr:row>35</xdr:row>
      <xdr:rowOff>95250</xdr:rowOff>
    </xdr:to>
    <xdr:pic>
      <xdr:nvPicPr>
        <xdr:cNvPr id="1240" name="Immagine 12">
          <a:hlinkClick xmlns:r="http://schemas.openxmlformats.org/officeDocument/2006/relationships" r:id="rId1"/>
          <a:extLst>
            <a:ext uri="{FF2B5EF4-FFF2-40B4-BE49-F238E27FC236}">
              <a16:creationId xmlns:a16="http://schemas.microsoft.com/office/drawing/2014/main" id="{00000000-0008-0000-0000-0000D8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63125" y="54292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123825</xdr:colOff>
      <xdr:row>10</xdr:row>
      <xdr:rowOff>76200</xdr:rowOff>
    </xdr:from>
    <xdr:to>
      <xdr:col>18</xdr:col>
      <xdr:colOff>161925</xdr:colOff>
      <xdr:row>12</xdr:row>
      <xdr:rowOff>114300</xdr:rowOff>
    </xdr:to>
    <xdr:pic>
      <xdr:nvPicPr>
        <xdr:cNvPr id="1241" name="Immagine 3">
          <a:hlinkClick xmlns:r="http://schemas.openxmlformats.org/officeDocument/2006/relationships" r:id="rId5"/>
          <a:extLst>
            <a:ext uri="{FF2B5EF4-FFF2-40B4-BE49-F238E27FC236}">
              <a16:creationId xmlns:a16="http://schemas.microsoft.com/office/drawing/2014/main" id="{00000000-0008-0000-0000-0000D9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05300" y="1724025"/>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171450</xdr:colOff>
      <xdr:row>20</xdr:row>
      <xdr:rowOff>85725</xdr:rowOff>
    </xdr:from>
    <xdr:to>
      <xdr:col>18</xdr:col>
      <xdr:colOff>0</xdr:colOff>
      <xdr:row>22</xdr:row>
      <xdr:rowOff>123825</xdr:rowOff>
    </xdr:to>
    <xdr:pic>
      <xdr:nvPicPr>
        <xdr:cNvPr id="1242" name="Immagine 4">
          <a:hlinkClick xmlns:r="http://schemas.openxmlformats.org/officeDocument/2006/relationships" r:id="rId6"/>
          <a:extLst>
            <a:ext uri="{FF2B5EF4-FFF2-40B4-BE49-F238E27FC236}">
              <a16:creationId xmlns:a16="http://schemas.microsoft.com/office/drawing/2014/main" id="{00000000-0008-0000-0000-0000DA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33850" y="335280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133350</xdr:colOff>
      <xdr:row>29</xdr:row>
      <xdr:rowOff>57150</xdr:rowOff>
    </xdr:from>
    <xdr:to>
      <xdr:col>18</xdr:col>
      <xdr:colOff>171450</xdr:colOff>
      <xdr:row>31</xdr:row>
      <xdr:rowOff>95250</xdr:rowOff>
    </xdr:to>
    <xdr:pic>
      <xdr:nvPicPr>
        <xdr:cNvPr id="1243" name="Immagine 7">
          <a:hlinkClick xmlns:r="http://schemas.openxmlformats.org/officeDocument/2006/relationships" r:id="rId1"/>
          <a:extLst>
            <a:ext uri="{FF2B5EF4-FFF2-40B4-BE49-F238E27FC236}">
              <a16:creationId xmlns:a16="http://schemas.microsoft.com/office/drawing/2014/main" id="{00000000-0008-0000-0000-0000DB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14825" y="47815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171450</xdr:colOff>
      <xdr:row>24</xdr:row>
      <xdr:rowOff>66675</xdr:rowOff>
    </xdr:from>
    <xdr:to>
      <xdr:col>18</xdr:col>
      <xdr:colOff>0</xdr:colOff>
      <xdr:row>26</xdr:row>
      <xdr:rowOff>104775</xdr:rowOff>
    </xdr:to>
    <xdr:pic>
      <xdr:nvPicPr>
        <xdr:cNvPr id="1244" name="Immagine 4">
          <a:hlinkClick xmlns:r="http://schemas.openxmlformats.org/officeDocument/2006/relationships" r:id="rId12"/>
          <a:extLst>
            <a:ext uri="{FF2B5EF4-FFF2-40B4-BE49-F238E27FC236}">
              <a16:creationId xmlns:a16="http://schemas.microsoft.com/office/drawing/2014/main" id="{00000000-0008-0000-0000-0000DC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33850" y="398145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180975</xdr:colOff>
      <xdr:row>16</xdr:row>
      <xdr:rowOff>85725</xdr:rowOff>
    </xdr:from>
    <xdr:to>
      <xdr:col>7</xdr:col>
      <xdr:colOff>342900</xdr:colOff>
      <xdr:row>18</xdr:row>
      <xdr:rowOff>123825</xdr:rowOff>
    </xdr:to>
    <xdr:pic>
      <xdr:nvPicPr>
        <xdr:cNvPr id="1245" name="Immagine 4">
          <a:hlinkClick xmlns:r="http://schemas.openxmlformats.org/officeDocument/2006/relationships" r:id="rId15"/>
          <a:extLst>
            <a:ext uri="{FF2B5EF4-FFF2-40B4-BE49-F238E27FC236}">
              <a16:creationId xmlns:a16="http://schemas.microsoft.com/office/drawing/2014/main" id="{00000000-0008-0000-0000-0000DD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52575" y="2705100"/>
          <a:ext cx="409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171450</xdr:colOff>
      <xdr:row>16</xdr:row>
      <xdr:rowOff>85725</xdr:rowOff>
    </xdr:from>
    <xdr:to>
      <xdr:col>18</xdr:col>
      <xdr:colOff>0</xdr:colOff>
      <xdr:row>18</xdr:row>
      <xdr:rowOff>123825</xdr:rowOff>
    </xdr:to>
    <xdr:pic>
      <xdr:nvPicPr>
        <xdr:cNvPr id="1246" name="Immagine 4">
          <a:hlinkClick xmlns:r="http://schemas.openxmlformats.org/officeDocument/2006/relationships" r:id="rId15"/>
          <a:extLst>
            <a:ext uri="{FF2B5EF4-FFF2-40B4-BE49-F238E27FC236}">
              <a16:creationId xmlns:a16="http://schemas.microsoft.com/office/drawing/2014/main" id="{00000000-0008-0000-0000-0000DE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33850" y="270510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171450</xdr:colOff>
      <xdr:row>16</xdr:row>
      <xdr:rowOff>85725</xdr:rowOff>
    </xdr:from>
    <xdr:to>
      <xdr:col>28</xdr:col>
      <xdr:colOff>0</xdr:colOff>
      <xdr:row>18</xdr:row>
      <xdr:rowOff>123825</xdr:rowOff>
    </xdr:to>
    <xdr:pic>
      <xdr:nvPicPr>
        <xdr:cNvPr id="1247" name="Immagine 4">
          <a:hlinkClick xmlns:r="http://schemas.openxmlformats.org/officeDocument/2006/relationships" r:id="rId15"/>
          <a:extLst>
            <a:ext uri="{FF2B5EF4-FFF2-40B4-BE49-F238E27FC236}">
              <a16:creationId xmlns:a16="http://schemas.microsoft.com/office/drawing/2014/main" id="{00000000-0008-0000-0000-0000DF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0" y="270510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171450</xdr:colOff>
      <xdr:row>16</xdr:row>
      <xdr:rowOff>85725</xdr:rowOff>
    </xdr:from>
    <xdr:to>
      <xdr:col>39</xdr:col>
      <xdr:colOff>0</xdr:colOff>
      <xdr:row>18</xdr:row>
      <xdr:rowOff>123825</xdr:rowOff>
    </xdr:to>
    <xdr:pic>
      <xdr:nvPicPr>
        <xdr:cNvPr id="1248" name="Immagine 4">
          <a:hlinkClick xmlns:r="http://schemas.openxmlformats.org/officeDocument/2006/relationships" r:id="rId15"/>
          <a:extLst>
            <a:ext uri="{FF2B5EF4-FFF2-40B4-BE49-F238E27FC236}">
              <a16:creationId xmlns:a16="http://schemas.microsoft.com/office/drawing/2014/main" id="{00000000-0008-0000-0000-0000E004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05950" y="2705100"/>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323850</xdr:colOff>
      <xdr:row>2</xdr:row>
      <xdr:rowOff>57150</xdr:rowOff>
    </xdr:from>
    <xdr:to>
      <xdr:col>4</xdr:col>
      <xdr:colOff>914400</xdr:colOff>
      <xdr:row>4</xdr:row>
      <xdr:rowOff>19050</xdr:rowOff>
    </xdr:to>
    <xdr:pic>
      <xdr:nvPicPr>
        <xdr:cNvPr id="10248" name="Immagine 1">
          <a:hlinkClick xmlns:r="http://schemas.openxmlformats.org/officeDocument/2006/relationships" r:id="rId1"/>
          <a:extLst>
            <a:ext uri="{FF2B5EF4-FFF2-40B4-BE49-F238E27FC236}">
              <a16:creationId xmlns:a16="http://schemas.microsoft.com/office/drawing/2014/main" id="{00000000-0008-0000-0900-000008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14700" y="790575"/>
          <a:ext cx="590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323850</xdr:colOff>
      <xdr:row>4</xdr:row>
      <xdr:rowOff>19050</xdr:rowOff>
    </xdr:from>
    <xdr:to>
      <xdr:col>8</xdr:col>
      <xdr:colOff>323850</xdr:colOff>
      <xdr:row>8</xdr:row>
      <xdr:rowOff>28575</xdr:rowOff>
    </xdr:to>
    <xdr:pic>
      <xdr:nvPicPr>
        <xdr:cNvPr id="78989" name="Immagine 1">
          <a:extLst>
            <a:ext uri="{FF2B5EF4-FFF2-40B4-BE49-F238E27FC236}">
              <a16:creationId xmlns:a16="http://schemas.microsoft.com/office/drawing/2014/main" id="{00000000-0008-0000-0B00-00008D34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4725" y="733425"/>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323850</xdr:colOff>
      <xdr:row>3</xdr:row>
      <xdr:rowOff>180975</xdr:rowOff>
    </xdr:from>
    <xdr:to>
      <xdr:col>8</xdr:col>
      <xdr:colOff>895350</xdr:colOff>
      <xdr:row>7</xdr:row>
      <xdr:rowOff>152400</xdr:rowOff>
    </xdr:to>
    <xdr:pic>
      <xdr:nvPicPr>
        <xdr:cNvPr id="78990" name="Immagine 1">
          <a:hlinkClick xmlns:r="http://schemas.openxmlformats.org/officeDocument/2006/relationships" r:id="rId2"/>
          <a:extLst>
            <a:ext uri="{FF2B5EF4-FFF2-40B4-BE49-F238E27FC236}">
              <a16:creationId xmlns:a16="http://schemas.microsoft.com/office/drawing/2014/main" id="{00000000-0008-0000-0B00-00008E34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4725" y="704850"/>
          <a:ext cx="5715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323850</xdr:colOff>
      <xdr:row>2</xdr:row>
      <xdr:rowOff>19050</xdr:rowOff>
    </xdr:from>
    <xdr:to>
      <xdr:col>6</xdr:col>
      <xdr:colOff>323850</xdr:colOff>
      <xdr:row>6</xdr:row>
      <xdr:rowOff>9525</xdr:rowOff>
    </xdr:to>
    <xdr:pic>
      <xdr:nvPicPr>
        <xdr:cNvPr id="2063" name="Immagine 1">
          <a:extLst>
            <a:ext uri="{FF2B5EF4-FFF2-40B4-BE49-F238E27FC236}">
              <a16:creationId xmlns:a16="http://schemas.microsoft.com/office/drawing/2014/main" id="{00000000-0008-0000-0100-00000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7275" y="3714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304800</xdr:colOff>
      <xdr:row>2</xdr:row>
      <xdr:rowOff>9525</xdr:rowOff>
    </xdr:from>
    <xdr:to>
      <xdr:col>6</xdr:col>
      <xdr:colOff>895350</xdr:colOff>
      <xdr:row>5</xdr:row>
      <xdr:rowOff>133350</xdr:rowOff>
    </xdr:to>
    <xdr:pic>
      <xdr:nvPicPr>
        <xdr:cNvPr id="2064" name="Immagine 1">
          <a:hlinkClick xmlns:r="http://schemas.openxmlformats.org/officeDocument/2006/relationships" r:id="rId2"/>
          <a:extLst>
            <a:ext uri="{FF2B5EF4-FFF2-40B4-BE49-F238E27FC236}">
              <a16:creationId xmlns:a16="http://schemas.microsoft.com/office/drawing/2014/main" id="{00000000-0008-0000-0100-000010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8225" y="361950"/>
          <a:ext cx="590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323850</xdr:colOff>
      <xdr:row>1</xdr:row>
      <xdr:rowOff>28575</xdr:rowOff>
    </xdr:from>
    <xdr:to>
      <xdr:col>18</xdr:col>
      <xdr:colOff>923925</xdr:colOff>
      <xdr:row>3</xdr:row>
      <xdr:rowOff>133350</xdr:rowOff>
    </xdr:to>
    <xdr:pic>
      <xdr:nvPicPr>
        <xdr:cNvPr id="3080" name="Immagine 1">
          <a:hlinkClick xmlns:r="http://schemas.openxmlformats.org/officeDocument/2006/relationships" r:id="rId1"/>
          <a:extLst>
            <a:ext uri="{FF2B5EF4-FFF2-40B4-BE49-F238E27FC236}">
              <a16:creationId xmlns:a16="http://schemas.microsoft.com/office/drawing/2014/main" id="{00000000-0008-0000-0200-0000080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77925" y="190500"/>
          <a:ext cx="6000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323850</xdr:colOff>
      <xdr:row>1</xdr:row>
      <xdr:rowOff>57150</xdr:rowOff>
    </xdr:from>
    <xdr:to>
      <xdr:col>8</xdr:col>
      <xdr:colOff>923925</xdr:colOff>
      <xdr:row>5</xdr:row>
      <xdr:rowOff>19050</xdr:rowOff>
    </xdr:to>
    <xdr:pic>
      <xdr:nvPicPr>
        <xdr:cNvPr id="4104" name="Immagine 1">
          <a:hlinkClick xmlns:r="http://schemas.openxmlformats.org/officeDocument/2006/relationships" r:id="rId1"/>
          <a:extLst>
            <a:ext uri="{FF2B5EF4-FFF2-40B4-BE49-F238E27FC236}">
              <a16:creationId xmlns:a16="http://schemas.microsoft.com/office/drawing/2014/main" id="{00000000-0008-0000-0300-0000081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0200" y="219075"/>
          <a:ext cx="6000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57150</xdr:colOff>
      <xdr:row>6</xdr:row>
      <xdr:rowOff>85725</xdr:rowOff>
    </xdr:from>
    <xdr:to>
      <xdr:col>12</xdr:col>
      <xdr:colOff>304800</xdr:colOff>
      <xdr:row>10</xdr:row>
      <xdr:rowOff>0</xdr:rowOff>
    </xdr:to>
    <xdr:pic>
      <xdr:nvPicPr>
        <xdr:cNvPr id="5128" name="Immagine 1">
          <a:hlinkClick xmlns:r="http://schemas.openxmlformats.org/officeDocument/2006/relationships" r:id="rId1"/>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9400" y="1266825"/>
          <a:ext cx="600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323850</xdr:colOff>
      <xdr:row>3</xdr:row>
      <xdr:rowOff>57150</xdr:rowOff>
    </xdr:from>
    <xdr:to>
      <xdr:col>15</xdr:col>
      <xdr:colOff>914400</xdr:colOff>
      <xdr:row>7</xdr:row>
      <xdr:rowOff>19050</xdr:rowOff>
    </xdr:to>
    <xdr:pic>
      <xdr:nvPicPr>
        <xdr:cNvPr id="6152" name="Immagine 1">
          <a:hlinkClick xmlns:r="http://schemas.openxmlformats.org/officeDocument/2006/relationships" r:id="rId1"/>
          <a:extLst>
            <a:ext uri="{FF2B5EF4-FFF2-40B4-BE49-F238E27FC236}">
              <a16:creationId xmlns:a16="http://schemas.microsoft.com/office/drawing/2014/main" id="{00000000-0008-0000-0500-0000081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0525" y="504825"/>
          <a:ext cx="590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323850</xdr:colOff>
      <xdr:row>2</xdr:row>
      <xdr:rowOff>66675</xdr:rowOff>
    </xdr:from>
    <xdr:to>
      <xdr:col>19</xdr:col>
      <xdr:colOff>914400</xdr:colOff>
      <xdr:row>6</xdr:row>
      <xdr:rowOff>28575</xdr:rowOff>
    </xdr:to>
    <xdr:pic>
      <xdr:nvPicPr>
        <xdr:cNvPr id="7176" name="Immagine 1">
          <a:hlinkClick xmlns:r="http://schemas.openxmlformats.org/officeDocument/2006/relationships" r:id="rId1"/>
          <a:extLst>
            <a:ext uri="{FF2B5EF4-FFF2-40B4-BE49-F238E27FC236}">
              <a16:creationId xmlns:a16="http://schemas.microsoft.com/office/drawing/2014/main" id="{00000000-0008-0000-0600-0000081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00" y="390525"/>
          <a:ext cx="590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304800</xdr:colOff>
      <xdr:row>1</xdr:row>
      <xdr:rowOff>57150</xdr:rowOff>
    </xdr:from>
    <xdr:to>
      <xdr:col>16</xdr:col>
      <xdr:colOff>895350</xdr:colOff>
      <xdr:row>5</xdr:row>
      <xdr:rowOff>19050</xdr:rowOff>
    </xdr:to>
    <xdr:pic>
      <xdr:nvPicPr>
        <xdr:cNvPr id="8200" name="Immagine 1">
          <a:hlinkClick xmlns:r="http://schemas.openxmlformats.org/officeDocument/2006/relationships" r:id="rId1"/>
          <a:extLst>
            <a:ext uri="{FF2B5EF4-FFF2-40B4-BE49-F238E27FC236}">
              <a16:creationId xmlns:a16="http://schemas.microsoft.com/office/drawing/2014/main" id="{00000000-0008-0000-0700-0000082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247650"/>
          <a:ext cx="590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304800</xdr:colOff>
      <xdr:row>1</xdr:row>
      <xdr:rowOff>66675</xdr:rowOff>
    </xdr:from>
    <xdr:to>
      <xdr:col>16</xdr:col>
      <xdr:colOff>895350</xdr:colOff>
      <xdr:row>5</xdr:row>
      <xdr:rowOff>28575</xdr:rowOff>
    </xdr:to>
    <xdr:pic>
      <xdr:nvPicPr>
        <xdr:cNvPr id="9224" name="Immagine 1">
          <a:hlinkClick xmlns:r="http://schemas.openxmlformats.org/officeDocument/2006/relationships" r:id="rId1"/>
          <a:extLst>
            <a:ext uri="{FF2B5EF4-FFF2-40B4-BE49-F238E27FC236}">
              <a16:creationId xmlns:a16="http://schemas.microsoft.com/office/drawing/2014/main" id="{00000000-0008-0000-0800-0000082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257175"/>
          <a:ext cx="590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pageSetUpPr fitToPage="1"/>
  </sheetPr>
  <dimension ref="A1:BJ75"/>
  <sheetViews>
    <sheetView showGridLines="0" tabSelected="1" zoomScale="90" zoomScaleNormal="90" workbookViewId="0">
      <selection activeCell="AG3" sqref="AG3"/>
    </sheetView>
  </sheetViews>
  <sheetFormatPr defaultColWidth="0" defaultRowHeight="12.75" zeroHeight="1" x14ac:dyDescent="0.2"/>
  <cols>
    <col min="1" max="1" width="3.28515625" style="403" customWidth="1"/>
    <col min="2" max="3" width="3.7109375" style="403" customWidth="1"/>
    <col min="4" max="6" width="3.28515625" style="403" customWidth="1"/>
    <col min="7" max="7" width="3.7109375" style="403" customWidth="1"/>
    <col min="8" max="8" width="5.7109375" style="403" customWidth="1"/>
    <col min="9" max="10" width="3.7109375" style="403" customWidth="1"/>
    <col min="11" max="11" width="4.7109375" style="403" customWidth="1"/>
    <col min="12" max="13" width="3.7109375" style="403" customWidth="1"/>
    <col min="14" max="17" width="3.28515625" style="403" customWidth="1"/>
    <col min="18" max="18" width="5.7109375" style="403" customWidth="1"/>
    <col min="19" max="20" width="3.7109375" style="403" customWidth="1"/>
    <col min="21" max="22" width="4.7109375" style="403" customWidth="1"/>
    <col min="23" max="23" width="3.7109375" style="403" customWidth="1"/>
    <col min="24" max="27" width="3.28515625" style="403" customWidth="1"/>
    <col min="28" max="28" width="5.7109375" style="403" customWidth="1"/>
    <col min="29" max="29" width="3.7109375" style="403" customWidth="1"/>
    <col min="30" max="30" width="4.7109375" style="403" customWidth="1"/>
    <col min="31" max="32" width="2.7109375" style="403" customWidth="1"/>
    <col min="33" max="33" width="4.7109375" style="403" customWidth="1"/>
    <col min="34" max="34" width="3.7109375" style="403" customWidth="1"/>
    <col min="35" max="38" width="3.28515625" style="403" customWidth="1"/>
    <col min="39" max="39" width="5.7109375" style="403" customWidth="1"/>
    <col min="40" max="40" width="3.7109375" style="403" customWidth="1"/>
    <col min="41" max="43" width="4.7109375" style="403" customWidth="1"/>
    <col min="44" max="46" width="3.7109375" style="403" customWidth="1"/>
    <col min="47" max="48" width="2.28515625" style="403" customWidth="1"/>
    <col min="49" max="49" width="3.7109375" style="403" customWidth="1"/>
    <col min="50" max="50" width="3.28515625" style="403" customWidth="1"/>
    <col min="51" max="51" width="4.28515625" style="403" customWidth="1"/>
    <col min="52" max="52" width="4.7109375" style="403" customWidth="1"/>
    <col min="53" max="53" width="3.28515625" style="403" customWidth="1"/>
    <col min="54" max="62" width="0" style="403" hidden="1" customWidth="1"/>
    <col min="63" max="16384" width="6.7109375" style="403" hidden="1"/>
  </cols>
  <sheetData>
    <row r="1" spans="1:52" ht="12.75" customHeight="1" x14ac:dyDescent="0.2">
      <c r="A1" s="403" t="s">
        <v>31</v>
      </c>
      <c r="B1" s="683"/>
      <c r="C1" s="683"/>
      <c r="D1" s="683"/>
      <c r="E1" s="683"/>
      <c r="F1" s="683"/>
      <c r="G1" s="683"/>
      <c r="H1" s="683"/>
      <c r="I1" s="683"/>
      <c r="J1" s="683"/>
      <c r="K1" s="683"/>
      <c r="L1" s="683"/>
      <c r="M1" s="683"/>
      <c r="N1" s="683"/>
      <c r="O1" s="683"/>
      <c r="P1" s="683"/>
      <c r="Q1" s="683"/>
      <c r="R1" s="683"/>
      <c r="S1" s="683"/>
      <c r="T1" s="683"/>
      <c r="U1" s="683"/>
    </row>
    <row r="2" spans="1:52" ht="15" customHeight="1" thickBot="1" x14ac:dyDescent="0.25">
      <c r="B2" s="683"/>
      <c r="C2" s="886" t="s">
        <v>24</v>
      </c>
      <c r="D2" s="886"/>
      <c r="E2" s="885" t="s">
        <v>381</v>
      </c>
      <c r="F2" s="885"/>
      <c r="G2" s="885"/>
      <c r="H2" s="885"/>
      <c r="I2" s="885"/>
      <c r="J2" s="885"/>
      <c r="K2" s="885"/>
      <c r="L2" s="885"/>
      <c r="M2" s="885"/>
      <c r="N2" s="885"/>
      <c r="O2" s="885"/>
      <c r="P2" s="885"/>
      <c r="Q2" s="885"/>
      <c r="R2" s="885"/>
      <c r="S2" s="885"/>
      <c r="T2" s="683"/>
      <c r="U2" s="683"/>
    </row>
    <row r="3" spans="1:52" ht="12.75" customHeight="1" x14ac:dyDescent="0.2">
      <c r="B3" s="683"/>
      <c r="C3" s="886"/>
      <c r="D3" s="886"/>
      <c r="E3" s="885"/>
      <c r="F3" s="885"/>
      <c r="G3" s="885"/>
      <c r="H3" s="885"/>
      <c r="I3" s="885"/>
      <c r="J3" s="885"/>
      <c r="K3" s="885"/>
      <c r="L3" s="885"/>
      <c r="M3" s="885"/>
      <c r="N3" s="885"/>
      <c r="O3" s="885"/>
      <c r="P3" s="885"/>
      <c r="Q3" s="885"/>
      <c r="R3" s="885"/>
      <c r="S3" s="885"/>
      <c r="T3" s="683"/>
      <c r="U3" s="683"/>
      <c r="W3" s="921" t="s">
        <v>57</v>
      </c>
      <c r="X3" s="924" t="s">
        <v>382</v>
      </c>
      <c r="Y3" s="924"/>
      <c r="Z3" s="924"/>
      <c r="AA3" s="924"/>
      <c r="AB3" s="924"/>
      <c r="AC3" s="469"/>
      <c r="AD3" s="466"/>
      <c r="AK3" s="404"/>
      <c r="AL3" s="404"/>
    </row>
    <row r="4" spans="1:52" ht="12.75" customHeight="1" x14ac:dyDescent="0.2">
      <c r="B4" s="683"/>
      <c r="C4" s="886"/>
      <c r="D4" s="886"/>
      <c r="E4" s="885"/>
      <c r="F4" s="885"/>
      <c r="G4" s="885"/>
      <c r="H4" s="885"/>
      <c r="I4" s="885"/>
      <c r="J4" s="885"/>
      <c r="K4" s="885"/>
      <c r="L4" s="885"/>
      <c r="M4" s="885"/>
      <c r="N4" s="885"/>
      <c r="O4" s="885"/>
      <c r="P4" s="885"/>
      <c r="Q4" s="885"/>
      <c r="R4" s="885"/>
      <c r="S4" s="885"/>
      <c r="T4" s="683"/>
      <c r="U4" s="683"/>
      <c r="V4" s="467"/>
      <c r="W4" s="922"/>
      <c r="X4" s="925"/>
      <c r="Y4" s="925"/>
      <c r="Z4" s="925"/>
      <c r="AA4" s="925"/>
      <c r="AB4" s="925"/>
      <c r="AC4" s="470"/>
      <c r="AD4" s="466"/>
      <c r="AK4" s="404"/>
      <c r="AL4" s="404"/>
    </row>
    <row r="5" spans="1:52" ht="12.75" customHeight="1" thickBot="1" x14ac:dyDescent="0.25">
      <c r="B5" s="683"/>
      <c r="C5" s="683"/>
      <c r="D5" s="683"/>
      <c r="E5" s="683"/>
      <c r="F5" s="683"/>
      <c r="G5" s="683"/>
      <c r="H5" s="683"/>
      <c r="I5" s="683"/>
      <c r="J5" s="683"/>
      <c r="K5" s="683"/>
      <c r="L5" s="683"/>
      <c r="M5" s="683"/>
      <c r="N5" s="683"/>
      <c r="O5" s="683"/>
      <c r="P5" s="683"/>
      <c r="Q5" s="683"/>
      <c r="R5" s="683"/>
      <c r="S5" s="683"/>
      <c r="T5" s="683"/>
      <c r="U5" s="683"/>
      <c r="V5" s="467"/>
      <c r="W5" s="923"/>
      <c r="X5" s="926"/>
      <c r="Y5" s="926"/>
      <c r="Z5" s="926"/>
      <c r="AA5" s="926"/>
      <c r="AB5" s="926"/>
      <c r="AC5" s="471"/>
      <c r="AD5" s="466"/>
      <c r="AK5" s="404"/>
      <c r="AL5" s="404"/>
    </row>
    <row r="6" spans="1:52" ht="12.75" customHeight="1" x14ac:dyDescent="0.2">
      <c r="X6" s="405"/>
      <c r="Y6" s="405"/>
      <c r="Z6" s="405"/>
      <c r="AA6" s="468"/>
      <c r="AB6" s="405"/>
      <c r="AC6" s="405"/>
      <c r="AD6" s="406"/>
      <c r="AE6" s="406"/>
      <c r="AF6" s="464"/>
      <c r="AG6" s="406"/>
      <c r="AH6" s="406"/>
      <c r="AI6" s="406"/>
    </row>
    <row r="7" spans="1:52" ht="12.75" customHeight="1" thickBot="1" x14ac:dyDescent="0.25">
      <c r="G7" s="407"/>
      <c r="H7" s="408"/>
      <c r="I7" s="408"/>
      <c r="J7" s="408"/>
      <c r="K7" s="408"/>
      <c r="L7" s="408"/>
      <c r="M7" s="408"/>
      <c r="N7" s="408"/>
      <c r="O7" s="408"/>
      <c r="P7" s="408"/>
      <c r="Q7" s="463"/>
      <c r="R7" s="408"/>
      <c r="S7" s="408"/>
      <c r="T7" s="408"/>
      <c r="U7" s="408"/>
      <c r="V7" s="408"/>
      <c r="W7" s="408"/>
      <c r="X7" s="409"/>
      <c r="Y7" s="409"/>
      <c r="Z7" s="409"/>
      <c r="AA7" s="410"/>
      <c r="AB7" s="409"/>
      <c r="AC7" s="409"/>
      <c r="AD7" s="409"/>
      <c r="AE7" s="409"/>
      <c r="AF7" s="408"/>
      <c r="AG7" s="408"/>
      <c r="AH7" s="408"/>
      <c r="AI7" s="408"/>
      <c r="AJ7" s="408"/>
      <c r="AK7" s="408"/>
      <c r="AL7" s="463"/>
      <c r="AM7" s="408"/>
      <c r="AN7" s="408"/>
      <c r="AO7" s="408"/>
      <c r="AP7" s="408"/>
      <c r="AQ7" s="408"/>
      <c r="AR7" s="408"/>
      <c r="AS7" s="408"/>
      <c r="AT7" s="408"/>
      <c r="AU7" s="408"/>
      <c r="AV7" s="465"/>
      <c r="AW7" s="475"/>
      <c r="AX7" s="411"/>
    </row>
    <row r="8" spans="1:52" ht="12.75" customHeight="1" x14ac:dyDescent="0.2">
      <c r="B8" s="915" t="s">
        <v>57</v>
      </c>
      <c r="C8" s="917" t="s">
        <v>153</v>
      </c>
      <c r="D8" s="917"/>
      <c r="E8" s="917"/>
      <c r="F8" s="917"/>
      <c r="G8" s="917"/>
      <c r="H8" s="917"/>
      <c r="I8" s="917"/>
      <c r="J8" s="918"/>
      <c r="L8" s="915" t="s">
        <v>57</v>
      </c>
      <c r="M8" s="917" t="s">
        <v>254</v>
      </c>
      <c r="N8" s="917"/>
      <c r="O8" s="917"/>
      <c r="P8" s="917"/>
      <c r="Q8" s="917"/>
      <c r="R8" s="917"/>
      <c r="S8" s="917"/>
      <c r="T8" s="918"/>
      <c r="V8" s="915" t="s">
        <v>57</v>
      </c>
      <c r="W8" s="927" t="s">
        <v>0</v>
      </c>
      <c r="X8" s="927"/>
      <c r="Y8" s="927"/>
      <c r="Z8" s="927"/>
      <c r="AA8" s="927"/>
      <c r="AB8" s="927"/>
      <c r="AC8" s="927"/>
      <c r="AD8" s="928"/>
      <c r="AG8" s="935" t="s">
        <v>57</v>
      </c>
      <c r="AH8" s="931" t="s">
        <v>103</v>
      </c>
      <c r="AI8" s="931"/>
      <c r="AJ8" s="931"/>
      <c r="AK8" s="931"/>
      <c r="AL8" s="931"/>
      <c r="AM8" s="931"/>
      <c r="AN8" s="931"/>
      <c r="AO8" s="932"/>
      <c r="AQ8" s="915" t="s">
        <v>57</v>
      </c>
      <c r="AR8" s="917" t="s">
        <v>396</v>
      </c>
      <c r="AS8" s="917"/>
      <c r="AT8" s="917"/>
      <c r="AU8" s="917"/>
      <c r="AV8" s="917"/>
      <c r="AW8" s="917"/>
      <c r="AX8" s="917"/>
      <c r="AY8" s="917"/>
      <c r="AZ8" s="918"/>
    </row>
    <row r="9" spans="1:52" ht="12.75" customHeight="1" x14ac:dyDescent="0.2">
      <c r="B9" s="916"/>
      <c r="C9" s="919"/>
      <c r="D9" s="919"/>
      <c r="E9" s="919"/>
      <c r="F9" s="919"/>
      <c r="G9" s="919"/>
      <c r="H9" s="919"/>
      <c r="I9" s="919"/>
      <c r="J9" s="920"/>
      <c r="L9" s="916"/>
      <c r="M9" s="919"/>
      <c r="N9" s="919"/>
      <c r="O9" s="919"/>
      <c r="P9" s="919"/>
      <c r="Q9" s="919"/>
      <c r="R9" s="919"/>
      <c r="S9" s="919"/>
      <c r="T9" s="920"/>
      <c r="V9" s="916"/>
      <c r="W9" s="929"/>
      <c r="X9" s="929"/>
      <c r="Y9" s="929"/>
      <c r="Z9" s="929"/>
      <c r="AA9" s="929"/>
      <c r="AB9" s="929"/>
      <c r="AC9" s="929"/>
      <c r="AD9" s="930"/>
      <c r="AG9" s="936"/>
      <c r="AH9" s="933"/>
      <c r="AI9" s="933"/>
      <c r="AJ9" s="933"/>
      <c r="AK9" s="933"/>
      <c r="AL9" s="933"/>
      <c r="AM9" s="933"/>
      <c r="AN9" s="933"/>
      <c r="AO9" s="934"/>
      <c r="AQ9" s="916"/>
      <c r="AR9" s="919"/>
      <c r="AS9" s="919"/>
      <c r="AT9" s="919"/>
      <c r="AU9" s="919"/>
      <c r="AV9" s="919"/>
      <c r="AW9" s="919"/>
      <c r="AX9" s="919"/>
      <c r="AY9" s="919"/>
      <c r="AZ9" s="920"/>
    </row>
    <row r="10" spans="1:52" ht="12.75" customHeight="1" x14ac:dyDescent="0.2">
      <c r="B10" s="412"/>
      <c r="C10" s="413"/>
      <c r="D10" s="413"/>
      <c r="E10" s="413"/>
      <c r="F10" s="413"/>
      <c r="G10" s="413"/>
      <c r="H10" s="413"/>
      <c r="I10" s="413"/>
      <c r="J10" s="414"/>
      <c r="L10" s="412"/>
      <c r="M10" s="413"/>
      <c r="N10" s="413"/>
      <c r="O10" s="413"/>
      <c r="P10" s="413"/>
      <c r="Q10" s="413"/>
      <c r="R10" s="413"/>
      <c r="S10" s="413"/>
      <c r="T10" s="414"/>
      <c r="V10" s="412"/>
      <c r="W10" s="413"/>
      <c r="X10" s="413"/>
      <c r="Y10" s="413"/>
      <c r="Z10" s="413"/>
      <c r="AA10" s="413"/>
      <c r="AB10" s="413"/>
      <c r="AC10" s="413"/>
      <c r="AD10" s="414"/>
      <c r="AG10" s="412"/>
      <c r="AH10" s="413"/>
      <c r="AI10" s="413"/>
      <c r="AJ10" s="413"/>
      <c r="AK10" s="413"/>
      <c r="AL10" s="413"/>
      <c r="AM10" s="413"/>
      <c r="AN10" s="413"/>
      <c r="AO10" s="414"/>
      <c r="AQ10" s="412"/>
      <c r="AR10" s="413"/>
      <c r="AS10" s="413"/>
      <c r="AT10" s="413"/>
      <c r="AU10" s="413"/>
      <c r="AV10" s="413"/>
      <c r="AW10" s="413"/>
      <c r="AX10" s="413"/>
      <c r="AY10" s="413"/>
      <c r="AZ10" s="414"/>
    </row>
    <row r="11" spans="1:52" ht="12.75" customHeight="1" x14ac:dyDescent="0.2">
      <c r="B11" s="415"/>
      <c r="C11" s="888" t="s">
        <v>243</v>
      </c>
      <c r="D11" s="889"/>
      <c r="E11" s="889"/>
      <c r="F11" s="889"/>
      <c r="G11" s="889"/>
      <c r="H11" s="561"/>
      <c r="I11" s="562"/>
      <c r="J11" s="416"/>
      <c r="K11" s="461"/>
      <c r="L11" s="415"/>
      <c r="M11" s="888" t="s">
        <v>243</v>
      </c>
      <c r="N11" s="889"/>
      <c r="O11" s="889"/>
      <c r="P11" s="889"/>
      <c r="Q11" s="889"/>
      <c r="R11" s="889"/>
      <c r="S11" s="890"/>
      <c r="T11" s="416"/>
      <c r="U11" s="461"/>
      <c r="V11" s="415"/>
      <c r="W11" s="888" t="s">
        <v>243</v>
      </c>
      <c r="X11" s="889"/>
      <c r="Y11" s="889"/>
      <c r="Z11" s="889"/>
      <c r="AA11" s="889"/>
      <c r="AB11" s="561"/>
      <c r="AC11" s="562"/>
      <c r="AD11" s="416"/>
      <c r="AG11" s="415"/>
      <c r="AH11" s="888" t="s">
        <v>243</v>
      </c>
      <c r="AI11" s="889"/>
      <c r="AJ11" s="889"/>
      <c r="AK11" s="889"/>
      <c r="AL11" s="889"/>
      <c r="AM11" s="889"/>
      <c r="AN11" s="890"/>
      <c r="AO11" s="416"/>
      <c r="AQ11" s="415"/>
      <c r="AR11" s="888" t="s">
        <v>255</v>
      </c>
      <c r="AS11" s="889"/>
      <c r="AT11" s="889"/>
      <c r="AU11" s="889"/>
      <c r="AV11" s="889"/>
      <c r="AW11" s="889"/>
      <c r="AX11" s="889"/>
      <c r="AY11" s="890"/>
      <c r="AZ11" s="416"/>
    </row>
    <row r="12" spans="1:52" ht="12.75" customHeight="1" x14ac:dyDescent="0.2">
      <c r="B12" s="415"/>
      <c r="C12" s="891"/>
      <c r="D12" s="892"/>
      <c r="E12" s="892"/>
      <c r="F12" s="892"/>
      <c r="G12" s="892"/>
      <c r="H12" s="563"/>
      <c r="I12" s="564"/>
      <c r="J12" s="416"/>
      <c r="K12" s="461"/>
      <c r="L12" s="415"/>
      <c r="M12" s="891"/>
      <c r="N12" s="892"/>
      <c r="O12" s="892"/>
      <c r="P12" s="892"/>
      <c r="Q12" s="892"/>
      <c r="R12" s="892"/>
      <c r="S12" s="893"/>
      <c r="T12" s="416"/>
      <c r="U12" s="461"/>
      <c r="V12" s="415"/>
      <c r="W12" s="891"/>
      <c r="X12" s="892"/>
      <c r="Y12" s="892"/>
      <c r="Z12" s="892"/>
      <c r="AA12" s="892"/>
      <c r="AB12" s="563"/>
      <c r="AC12" s="564"/>
      <c r="AD12" s="416"/>
      <c r="AG12" s="415"/>
      <c r="AH12" s="891"/>
      <c r="AI12" s="892"/>
      <c r="AJ12" s="892"/>
      <c r="AK12" s="892"/>
      <c r="AL12" s="892"/>
      <c r="AM12" s="892"/>
      <c r="AN12" s="893"/>
      <c r="AO12" s="416"/>
      <c r="AQ12" s="415"/>
      <c r="AR12" s="891"/>
      <c r="AS12" s="892"/>
      <c r="AT12" s="892"/>
      <c r="AU12" s="892"/>
      <c r="AV12" s="892"/>
      <c r="AW12" s="892"/>
      <c r="AX12" s="892"/>
      <c r="AY12" s="893"/>
      <c r="AZ12" s="416"/>
    </row>
    <row r="13" spans="1:52" ht="12.75" customHeight="1" x14ac:dyDescent="0.2">
      <c r="B13" s="415"/>
      <c r="C13" s="894"/>
      <c r="D13" s="895"/>
      <c r="E13" s="895"/>
      <c r="F13" s="895"/>
      <c r="G13" s="895"/>
      <c r="H13" s="565"/>
      <c r="I13" s="566"/>
      <c r="J13" s="416"/>
      <c r="L13" s="415"/>
      <c r="M13" s="894"/>
      <c r="N13" s="895"/>
      <c r="O13" s="895"/>
      <c r="P13" s="895"/>
      <c r="Q13" s="895"/>
      <c r="R13" s="895"/>
      <c r="S13" s="896"/>
      <c r="T13" s="416"/>
      <c r="V13" s="415"/>
      <c r="W13" s="894"/>
      <c r="X13" s="895"/>
      <c r="Y13" s="895"/>
      <c r="Z13" s="895"/>
      <c r="AA13" s="895"/>
      <c r="AB13" s="565"/>
      <c r="AC13" s="566"/>
      <c r="AD13" s="416"/>
      <c r="AG13" s="415"/>
      <c r="AH13" s="894"/>
      <c r="AI13" s="895"/>
      <c r="AJ13" s="895"/>
      <c r="AK13" s="895"/>
      <c r="AL13" s="895"/>
      <c r="AM13" s="895"/>
      <c r="AN13" s="896"/>
      <c r="AO13" s="416"/>
      <c r="AQ13" s="415"/>
      <c r="AR13" s="894"/>
      <c r="AS13" s="895"/>
      <c r="AT13" s="895"/>
      <c r="AU13" s="895"/>
      <c r="AV13" s="895"/>
      <c r="AW13" s="895"/>
      <c r="AX13" s="895"/>
      <c r="AY13" s="896"/>
      <c r="AZ13" s="416"/>
    </row>
    <row r="14" spans="1:52" ht="12.75" customHeight="1" x14ac:dyDescent="0.2">
      <c r="B14" s="415"/>
      <c r="C14" s="417"/>
      <c r="D14" s="417"/>
      <c r="E14" s="417"/>
      <c r="F14" s="417"/>
      <c r="G14" s="686"/>
      <c r="H14" s="417"/>
      <c r="I14" s="417"/>
      <c r="J14" s="416"/>
      <c r="L14" s="415"/>
      <c r="M14" s="417"/>
      <c r="N14" s="417"/>
      <c r="O14" s="417"/>
      <c r="P14" s="688"/>
      <c r="Q14" s="687"/>
      <c r="R14" s="417"/>
      <c r="S14" s="417"/>
      <c r="T14" s="416"/>
      <c r="V14" s="415"/>
      <c r="W14" s="417"/>
      <c r="X14" s="417"/>
      <c r="Y14" s="417"/>
      <c r="Z14" s="417"/>
      <c r="AA14" s="417"/>
      <c r="AB14" s="417"/>
      <c r="AC14" s="417"/>
      <c r="AD14" s="416"/>
      <c r="AG14" s="415"/>
      <c r="AH14" s="417"/>
      <c r="AI14" s="417"/>
      <c r="AJ14" s="417"/>
      <c r="AK14" s="417"/>
      <c r="AL14" s="686"/>
      <c r="AM14" s="417"/>
      <c r="AN14" s="417"/>
      <c r="AO14" s="416"/>
      <c r="AQ14" s="415"/>
      <c r="AR14" s="417"/>
      <c r="AS14" s="417"/>
      <c r="AT14" s="417"/>
      <c r="AU14" s="417"/>
      <c r="AV14" s="417"/>
      <c r="AW14" s="417"/>
      <c r="AX14" s="417"/>
      <c r="AY14" s="417"/>
      <c r="AZ14" s="416"/>
    </row>
    <row r="15" spans="1:52" ht="12.75" customHeight="1" x14ac:dyDescent="0.2">
      <c r="B15" s="415"/>
      <c r="C15" s="909" t="s">
        <v>384</v>
      </c>
      <c r="D15" s="910"/>
      <c r="E15" s="910"/>
      <c r="F15" s="910"/>
      <c r="G15" s="910"/>
      <c r="H15" s="910"/>
      <c r="I15" s="911"/>
      <c r="J15" s="416"/>
      <c r="L15" s="415"/>
      <c r="M15" s="909" t="s">
        <v>384</v>
      </c>
      <c r="N15" s="910"/>
      <c r="O15" s="910"/>
      <c r="P15" s="910"/>
      <c r="Q15" s="910"/>
      <c r="R15" s="910"/>
      <c r="S15" s="911"/>
      <c r="T15" s="416"/>
      <c r="V15" s="415"/>
      <c r="W15" s="909" t="s">
        <v>384</v>
      </c>
      <c r="X15" s="910"/>
      <c r="Y15" s="910"/>
      <c r="Z15" s="910"/>
      <c r="AA15" s="910"/>
      <c r="AB15" s="910"/>
      <c r="AC15" s="911"/>
      <c r="AD15" s="416"/>
      <c r="AG15" s="415"/>
      <c r="AH15" s="909" t="s">
        <v>384</v>
      </c>
      <c r="AI15" s="910"/>
      <c r="AJ15" s="910"/>
      <c r="AK15" s="910"/>
      <c r="AL15" s="910"/>
      <c r="AM15" s="910"/>
      <c r="AN15" s="911"/>
      <c r="AO15" s="416"/>
      <c r="AQ15" s="415"/>
      <c r="AR15" s="888" t="s">
        <v>295</v>
      </c>
      <c r="AS15" s="889"/>
      <c r="AT15" s="889"/>
      <c r="AU15" s="889"/>
      <c r="AV15" s="889"/>
      <c r="AW15" s="889"/>
      <c r="AX15" s="561"/>
      <c r="AY15" s="562"/>
      <c r="AZ15" s="416"/>
    </row>
    <row r="16" spans="1:52" ht="12.75" customHeight="1" x14ac:dyDescent="0.2">
      <c r="B16" s="415"/>
      <c r="C16" s="912"/>
      <c r="D16" s="913"/>
      <c r="E16" s="913"/>
      <c r="F16" s="913"/>
      <c r="G16" s="913"/>
      <c r="H16" s="913"/>
      <c r="I16" s="914"/>
      <c r="J16" s="416"/>
      <c r="L16" s="415"/>
      <c r="M16" s="912"/>
      <c r="N16" s="913"/>
      <c r="O16" s="913"/>
      <c r="P16" s="913"/>
      <c r="Q16" s="913"/>
      <c r="R16" s="913"/>
      <c r="S16" s="914"/>
      <c r="T16" s="416"/>
      <c r="V16" s="415"/>
      <c r="W16" s="912"/>
      <c r="X16" s="913"/>
      <c r="Y16" s="913"/>
      <c r="Z16" s="913"/>
      <c r="AA16" s="913"/>
      <c r="AB16" s="913"/>
      <c r="AC16" s="914"/>
      <c r="AD16" s="416"/>
      <c r="AG16" s="415"/>
      <c r="AH16" s="912"/>
      <c r="AI16" s="913"/>
      <c r="AJ16" s="913"/>
      <c r="AK16" s="913"/>
      <c r="AL16" s="913"/>
      <c r="AM16" s="913"/>
      <c r="AN16" s="914"/>
      <c r="AO16" s="416"/>
      <c r="AQ16" s="415"/>
      <c r="AR16" s="891"/>
      <c r="AS16" s="892"/>
      <c r="AT16" s="892"/>
      <c r="AU16" s="892"/>
      <c r="AV16" s="892"/>
      <c r="AW16" s="892"/>
      <c r="AX16" s="563"/>
      <c r="AY16" s="564"/>
      <c r="AZ16" s="416"/>
    </row>
    <row r="17" spans="2:52" ht="12.75" customHeight="1" x14ac:dyDescent="0.2">
      <c r="B17" s="415"/>
      <c r="C17" s="691"/>
      <c r="D17" s="903" t="s">
        <v>329</v>
      </c>
      <c r="E17" s="904"/>
      <c r="F17" s="904"/>
      <c r="G17" s="904"/>
      <c r="H17" s="623"/>
      <c r="I17" s="696"/>
      <c r="J17" s="416"/>
      <c r="L17" s="415"/>
      <c r="M17" s="691"/>
      <c r="N17" s="903" t="s">
        <v>329</v>
      </c>
      <c r="O17" s="904"/>
      <c r="P17" s="904"/>
      <c r="Q17" s="904"/>
      <c r="R17" s="623"/>
      <c r="S17" s="696"/>
      <c r="T17" s="416"/>
      <c r="V17" s="415"/>
      <c r="W17" s="691"/>
      <c r="X17" s="903" t="s">
        <v>329</v>
      </c>
      <c r="Y17" s="904"/>
      <c r="Z17" s="904"/>
      <c r="AA17" s="904"/>
      <c r="AB17" s="623"/>
      <c r="AC17" s="696"/>
      <c r="AD17" s="416"/>
      <c r="AG17" s="415"/>
      <c r="AH17" s="691"/>
      <c r="AI17" s="903" t="s">
        <v>329</v>
      </c>
      <c r="AJ17" s="904"/>
      <c r="AK17" s="904"/>
      <c r="AL17" s="904"/>
      <c r="AM17" s="623"/>
      <c r="AN17" s="696"/>
      <c r="AO17" s="416"/>
      <c r="AQ17" s="415"/>
      <c r="AR17" s="894"/>
      <c r="AS17" s="895"/>
      <c r="AT17" s="895"/>
      <c r="AU17" s="895"/>
      <c r="AV17" s="895"/>
      <c r="AW17" s="895"/>
      <c r="AX17" s="565"/>
      <c r="AY17" s="566"/>
      <c r="AZ17" s="416"/>
    </row>
    <row r="18" spans="2:52" ht="12.75" customHeight="1" x14ac:dyDescent="0.2">
      <c r="B18" s="415"/>
      <c r="C18" s="697"/>
      <c r="D18" s="905"/>
      <c r="E18" s="906"/>
      <c r="F18" s="906"/>
      <c r="G18" s="906"/>
      <c r="H18" s="624"/>
      <c r="I18" s="696"/>
      <c r="J18" s="416"/>
      <c r="L18" s="415"/>
      <c r="M18" s="691"/>
      <c r="N18" s="905"/>
      <c r="O18" s="906"/>
      <c r="P18" s="906"/>
      <c r="Q18" s="906"/>
      <c r="R18" s="624"/>
      <c r="S18" s="696"/>
      <c r="T18" s="416"/>
      <c r="V18" s="415"/>
      <c r="W18" s="691"/>
      <c r="X18" s="905"/>
      <c r="Y18" s="906"/>
      <c r="Z18" s="906"/>
      <c r="AA18" s="906"/>
      <c r="AB18" s="624"/>
      <c r="AC18" s="696"/>
      <c r="AD18" s="416"/>
      <c r="AG18" s="415"/>
      <c r="AH18" s="691"/>
      <c r="AI18" s="905"/>
      <c r="AJ18" s="906"/>
      <c r="AK18" s="906"/>
      <c r="AL18" s="906"/>
      <c r="AM18" s="624"/>
      <c r="AN18" s="696"/>
      <c r="AO18" s="416"/>
      <c r="AQ18" s="415"/>
      <c r="AR18" s="417"/>
      <c r="AS18" s="417"/>
      <c r="AT18" s="417"/>
      <c r="AU18" s="417"/>
      <c r="AV18" s="417"/>
      <c r="AW18" s="417"/>
      <c r="AX18" s="417"/>
      <c r="AY18" s="417"/>
      <c r="AZ18" s="416"/>
    </row>
    <row r="19" spans="2:52" ht="12.75" customHeight="1" x14ac:dyDescent="0.2">
      <c r="B19" s="415"/>
      <c r="C19" s="691"/>
      <c r="D19" s="907"/>
      <c r="E19" s="908"/>
      <c r="F19" s="908"/>
      <c r="G19" s="908"/>
      <c r="H19" s="625"/>
      <c r="I19" s="696"/>
      <c r="J19" s="416"/>
      <c r="L19" s="415"/>
      <c r="M19" s="691"/>
      <c r="N19" s="907"/>
      <c r="O19" s="908"/>
      <c r="P19" s="908"/>
      <c r="Q19" s="908"/>
      <c r="R19" s="625"/>
      <c r="S19" s="696"/>
      <c r="T19" s="416"/>
      <c r="V19" s="415"/>
      <c r="W19" s="691"/>
      <c r="X19" s="907"/>
      <c r="Y19" s="908"/>
      <c r="Z19" s="908"/>
      <c r="AA19" s="908"/>
      <c r="AB19" s="625"/>
      <c r="AC19" s="696"/>
      <c r="AD19" s="416"/>
      <c r="AG19" s="415"/>
      <c r="AH19" s="691"/>
      <c r="AI19" s="907"/>
      <c r="AJ19" s="908"/>
      <c r="AK19" s="908"/>
      <c r="AL19" s="908"/>
      <c r="AM19" s="625"/>
      <c r="AN19" s="696"/>
      <c r="AO19" s="416"/>
      <c r="AQ19" s="415"/>
      <c r="AR19" s="685"/>
      <c r="AS19" s="685"/>
      <c r="AT19" s="685"/>
      <c r="AU19" s="685"/>
      <c r="AV19" s="685"/>
      <c r="AW19" s="685"/>
      <c r="AX19" s="685"/>
      <c r="AY19" s="685"/>
      <c r="AZ19" s="416"/>
    </row>
    <row r="20" spans="2:52" ht="12.75" customHeight="1" x14ac:dyDescent="0.2">
      <c r="B20" s="415"/>
      <c r="C20" s="691"/>
      <c r="D20" s="47"/>
      <c r="E20" s="47"/>
      <c r="F20" s="47"/>
      <c r="G20" s="691"/>
      <c r="H20" s="47"/>
      <c r="I20" s="696"/>
      <c r="J20" s="416"/>
      <c r="L20" s="415"/>
      <c r="M20" s="691"/>
      <c r="N20" s="47"/>
      <c r="O20" s="47"/>
      <c r="P20" s="47"/>
      <c r="Q20" s="691"/>
      <c r="R20" s="47"/>
      <c r="S20" s="696"/>
      <c r="T20" s="416"/>
      <c r="V20" s="415"/>
      <c r="W20" s="691"/>
      <c r="X20" s="47"/>
      <c r="Y20" s="47"/>
      <c r="Z20" s="47"/>
      <c r="AA20" s="691"/>
      <c r="AB20" s="47"/>
      <c r="AC20" s="696"/>
      <c r="AD20" s="416"/>
      <c r="AG20" s="415"/>
      <c r="AH20" s="691"/>
      <c r="AI20" s="47"/>
      <c r="AJ20" s="47"/>
      <c r="AK20" s="47"/>
      <c r="AL20" s="691"/>
      <c r="AM20" s="47"/>
      <c r="AN20" s="696"/>
      <c r="AO20" s="416"/>
      <c r="AQ20" s="415"/>
      <c r="AR20" s="685"/>
      <c r="AS20" s="685"/>
      <c r="AT20" s="685"/>
      <c r="AU20" s="685"/>
      <c r="AV20" s="685"/>
      <c r="AW20" s="685"/>
      <c r="AX20" s="685"/>
      <c r="AY20" s="685"/>
      <c r="AZ20" s="416"/>
    </row>
    <row r="21" spans="2:52" ht="12.75" customHeight="1" x14ac:dyDescent="0.2">
      <c r="B21" s="415"/>
      <c r="C21" s="691"/>
      <c r="D21" s="888" t="s">
        <v>294</v>
      </c>
      <c r="E21" s="889"/>
      <c r="F21" s="889"/>
      <c r="G21" s="889"/>
      <c r="H21" s="562"/>
      <c r="I21" s="696"/>
      <c r="J21" s="416"/>
      <c r="L21" s="415"/>
      <c r="M21" s="691"/>
      <c r="N21" s="888" t="s">
        <v>294</v>
      </c>
      <c r="O21" s="889"/>
      <c r="P21" s="889"/>
      <c r="Q21" s="889"/>
      <c r="R21" s="562"/>
      <c r="S21" s="696"/>
      <c r="T21" s="416"/>
      <c r="V21" s="415"/>
      <c r="W21" s="691"/>
      <c r="X21" s="888" t="s">
        <v>294</v>
      </c>
      <c r="Y21" s="889"/>
      <c r="Z21" s="889"/>
      <c r="AA21" s="889"/>
      <c r="AB21" s="562"/>
      <c r="AC21" s="696"/>
      <c r="AD21" s="416"/>
      <c r="AG21" s="415"/>
      <c r="AH21" s="691"/>
      <c r="AI21" s="888" t="s">
        <v>294</v>
      </c>
      <c r="AJ21" s="889"/>
      <c r="AK21" s="889"/>
      <c r="AL21" s="889"/>
      <c r="AM21" s="562"/>
      <c r="AN21" s="696"/>
      <c r="AO21" s="416"/>
      <c r="AQ21" s="415"/>
      <c r="AR21" s="685"/>
      <c r="AS21" s="685"/>
      <c r="AT21" s="685"/>
      <c r="AU21" s="685"/>
      <c r="AV21" s="685"/>
      <c r="AW21" s="685"/>
      <c r="AX21" s="685"/>
      <c r="AY21" s="685"/>
      <c r="AZ21" s="416"/>
    </row>
    <row r="22" spans="2:52" ht="12.75" customHeight="1" x14ac:dyDescent="0.2">
      <c r="B22" s="415"/>
      <c r="C22" s="691"/>
      <c r="D22" s="891"/>
      <c r="E22" s="892"/>
      <c r="F22" s="892"/>
      <c r="G22" s="892"/>
      <c r="H22" s="564"/>
      <c r="I22" s="696"/>
      <c r="J22" s="416"/>
      <c r="L22" s="415"/>
      <c r="M22" s="691"/>
      <c r="N22" s="891"/>
      <c r="O22" s="892"/>
      <c r="P22" s="892"/>
      <c r="Q22" s="892"/>
      <c r="R22" s="564"/>
      <c r="S22" s="696"/>
      <c r="T22" s="416"/>
      <c r="V22" s="415"/>
      <c r="W22" s="691"/>
      <c r="X22" s="891"/>
      <c r="Y22" s="892"/>
      <c r="Z22" s="892"/>
      <c r="AA22" s="892"/>
      <c r="AB22" s="564"/>
      <c r="AC22" s="696"/>
      <c r="AD22" s="416"/>
      <c r="AG22" s="415"/>
      <c r="AH22" s="691"/>
      <c r="AI22" s="891"/>
      <c r="AJ22" s="892"/>
      <c r="AK22" s="892"/>
      <c r="AL22" s="892"/>
      <c r="AM22" s="564"/>
      <c r="AN22" s="696"/>
      <c r="AO22" s="416"/>
      <c r="AQ22" s="415"/>
      <c r="AR22" s="417"/>
      <c r="AS22" s="417"/>
      <c r="AT22" s="417"/>
      <c r="AU22" s="417"/>
      <c r="AV22" s="417"/>
      <c r="AW22" s="417"/>
      <c r="AX22" s="417"/>
      <c r="AY22" s="417"/>
      <c r="AZ22" s="416"/>
    </row>
    <row r="23" spans="2:52" ht="12.75" customHeight="1" x14ac:dyDescent="0.2">
      <c r="B23" s="415"/>
      <c r="C23" s="691"/>
      <c r="D23" s="894"/>
      <c r="E23" s="895"/>
      <c r="F23" s="895"/>
      <c r="G23" s="895"/>
      <c r="H23" s="566"/>
      <c r="I23" s="696"/>
      <c r="J23" s="416"/>
      <c r="L23" s="415"/>
      <c r="M23" s="691"/>
      <c r="N23" s="894"/>
      <c r="O23" s="895"/>
      <c r="P23" s="895"/>
      <c r="Q23" s="895"/>
      <c r="R23" s="566"/>
      <c r="S23" s="696"/>
      <c r="T23" s="416"/>
      <c r="V23" s="415"/>
      <c r="W23" s="691"/>
      <c r="X23" s="894"/>
      <c r="Y23" s="895"/>
      <c r="Z23" s="895"/>
      <c r="AA23" s="895"/>
      <c r="AB23" s="566"/>
      <c r="AC23" s="696"/>
      <c r="AD23" s="416"/>
      <c r="AG23" s="415"/>
      <c r="AH23" s="691"/>
      <c r="AI23" s="894"/>
      <c r="AJ23" s="895"/>
      <c r="AK23" s="895"/>
      <c r="AL23" s="895"/>
      <c r="AM23" s="566"/>
      <c r="AN23" s="696"/>
      <c r="AO23" s="416"/>
      <c r="AQ23" s="415"/>
      <c r="AR23" s="417"/>
      <c r="AS23" s="417"/>
      <c r="AT23" s="417"/>
      <c r="AU23" s="417"/>
      <c r="AV23" s="417"/>
      <c r="AW23" s="417"/>
      <c r="AX23" s="417"/>
      <c r="AY23" s="417"/>
      <c r="AZ23" s="416"/>
    </row>
    <row r="24" spans="2:52" ht="12.75" customHeight="1" x14ac:dyDescent="0.2">
      <c r="B24" s="415"/>
      <c r="C24" s="691"/>
      <c r="D24" s="47"/>
      <c r="E24" s="47"/>
      <c r="F24" s="47"/>
      <c r="G24" s="691"/>
      <c r="H24" s="47"/>
      <c r="I24" s="696"/>
      <c r="J24" s="416"/>
      <c r="L24" s="415"/>
      <c r="M24" s="691"/>
      <c r="N24" s="47"/>
      <c r="O24" s="47"/>
      <c r="P24" s="47"/>
      <c r="Q24" s="691"/>
      <c r="R24" s="47"/>
      <c r="S24" s="696"/>
      <c r="T24" s="416"/>
      <c r="V24" s="415"/>
      <c r="W24" s="691"/>
      <c r="X24" s="47"/>
      <c r="Y24" s="47"/>
      <c r="Z24" s="47"/>
      <c r="AA24" s="691"/>
      <c r="AB24" s="47"/>
      <c r="AC24" s="696"/>
      <c r="AD24" s="416"/>
      <c r="AG24" s="415"/>
      <c r="AH24" s="691"/>
      <c r="AI24" s="47"/>
      <c r="AJ24" s="47"/>
      <c r="AK24" s="47"/>
      <c r="AL24" s="691"/>
      <c r="AM24" s="47"/>
      <c r="AN24" s="696"/>
      <c r="AO24" s="416"/>
      <c r="AQ24" s="415"/>
      <c r="AR24" s="417"/>
      <c r="AS24" s="417"/>
      <c r="AT24" s="417"/>
      <c r="AU24" s="417"/>
      <c r="AV24" s="417"/>
      <c r="AW24" s="417"/>
      <c r="AX24" s="417"/>
      <c r="AY24" s="417"/>
      <c r="AZ24" s="416"/>
    </row>
    <row r="25" spans="2:52" ht="12.75" customHeight="1" x14ac:dyDescent="0.2">
      <c r="B25" s="415"/>
      <c r="C25" s="691"/>
      <c r="D25" s="888" t="s">
        <v>248</v>
      </c>
      <c r="E25" s="889"/>
      <c r="F25" s="889"/>
      <c r="G25" s="889"/>
      <c r="H25" s="562"/>
      <c r="I25" s="696"/>
      <c r="J25" s="416"/>
      <c r="L25" s="415"/>
      <c r="M25" s="691"/>
      <c r="N25" s="888" t="s">
        <v>248</v>
      </c>
      <c r="O25" s="889"/>
      <c r="P25" s="889"/>
      <c r="Q25" s="889"/>
      <c r="R25" s="562"/>
      <c r="S25" s="696"/>
      <c r="T25" s="416"/>
      <c r="V25" s="415"/>
      <c r="W25" s="691"/>
      <c r="X25" s="888" t="s">
        <v>248</v>
      </c>
      <c r="Y25" s="889"/>
      <c r="Z25" s="889"/>
      <c r="AA25" s="889"/>
      <c r="AB25" s="562"/>
      <c r="AC25" s="696"/>
      <c r="AD25" s="416"/>
      <c r="AG25" s="415"/>
      <c r="AH25" s="691"/>
      <c r="AI25" s="888" t="s">
        <v>248</v>
      </c>
      <c r="AJ25" s="889"/>
      <c r="AK25" s="889"/>
      <c r="AL25" s="889"/>
      <c r="AM25" s="562"/>
      <c r="AN25" s="696"/>
      <c r="AO25" s="416"/>
      <c r="AQ25" s="415"/>
      <c r="AR25" s="417"/>
      <c r="AS25" s="417"/>
      <c r="AT25" s="417"/>
      <c r="AU25" s="417"/>
      <c r="AV25" s="417"/>
      <c r="AW25" s="417"/>
      <c r="AX25" s="417"/>
      <c r="AY25" s="417"/>
      <c r="AZ25" s="416"/>
    </row>
    <row r="26" spans="2:52" ht="12.75" customHeight="1" x14ac:dyDescent="0.2">
      <c r="B26" s="415"/>
      <c r="C26" s="691"/>
      <c r="D26" s="891"/>
      <c r="E26" s="892"/>
      <c r="F26" s="892"/>
      <c r="G26" s="892"/>
      <c r="H26" s="564"/>
      <c r="I26" s="696"/>
      <c r="J26" s="416"/>
      <c r="L26" s="415"/>
      <c r="M26" s="691"/>
      <c r="N26" s="891"/>
      <c r="O26" s="892"/>
      <c r="P26" s="892"/>
      <c r="Q26" s="892"/>
      <c r="R26" s="564"/>
      <c r="S26" s="696"/>
      <c r="T26" s="416"/>
      <c r="V26" s="415"/>
      <c r="W26" s="691"/>
      <c r="X26" s="891"/>
      <c r="Y26" s="892"/>
      <c r="Z26" s="892"/>
      <c r="AA26" s="892"/>
      <c r="AB26" s="564"/>
      <c r="AC26" s="696"/>
      <c r="AD26" s="416"/>
      <c r="AG26" s="415"/>
      <c r="AH26" s="691"/>
      <c r="AI26" s="891"/>
      <c r="AJ26" s="892"/>
      <c r="AK26" s="892"/>
      <c r="AL26" s="892"/>
      <c r="AM26" s="564"/>
      <c r="AN26" s="696"/>
      <c r="AO26" s="416"/>
      <c r="AQ26" s="415"/>
      <c r="AR26" s="417"/>
      <c r="AS26" s="417"/>
      <c r="AT26" s="417"/>
      <c r="AU26" s="417"/>
      <c r="AV26" s="417"/>
      <c r="AW26" s="417"/>
      <c r="AX26" s="417"/>
      <c r="AY26" s="417"/>
      <c r="AZ26" s="416"/>
    </row>
    <row r="27" spans="2:52" ht="12.75" customHeight="1" x14ac:dyDescent="0.2">
      <c r="B27" s="415"/>
      <c r="C27" s="691"/>
      <c r="D27" s="894"/>
      <c r="E27" s="895"/>
      <c r="F27" s="895"/>
      <c r="G27" s="895"/>
      <c r="H27" s="566"/>
      <c r="I27" s="696"/>
      <c r="J27" s="416"/>
      <c r="L27" s="415"/>
      <c r="M27" s="691"/>
      <c r="N27" s="894"/>
      <c r="O27" s="895"/>
      <c r="P27" s="895"/>
      <c r="Q27" s="895"/>
      <c r="R27" s="566"/>
      <c r="S27" s="696"/>
      <c r="T27" s="416"/>
      <c r="V27" s="415"/>
      <c r="W27" s="691"/>
      <c r="X27" s="894"/>
      <c r="Y27" s="895"/>
      <c r="Z27" s="895"/>
      <c r="AA27" s="895"/>
      <c r="AB27" s="566"/>
      <c r="AC27" s="696"/>
      <c r="AD27" s="416"/>
      <c r="AG27" s="415"/>
      <c r="AH27" s="691"/>
      <c r="AI27" s="894"/>
      <c r="AJ27" s="895"/>
      <c r="AK27" s="895"/>
      <c r="AL27" s="895"/>
      <c r="AM27" s="566"/>
      <c r="AN27" s="696"/>
      <c r="AO27" s="416"/>
      <c r="AQ27" s="415"/>
      <c r="AR27" s="417"/>
      <c r="AS27" s="417"/>
      <c r="AT27" s="417"/>
      <c r="AU27" s="417"/>
      <c r="AV27" s="417"/>
      <c r="AW27" s="417"/>
      <c r="AX27" s="417"/>
      <c r="AY27" s="417"/>
      <c r="AZ27" s="416"/>
    </row>
    <row r="28" spans="2:52" ht="12.75" customHeight="1" x14ac:dyDescent="0.2">
      <c r="B28" s="415"/>
      <c r="C28" s="692"/>
      <c r="D28" s="693"/>
      <c r="E28" s="693"/>
      <c r="F28" s="693"/>
      <c r="G28" s="693"/>
      <c r="H28" s="694"/>
      <c r="I28" s="695"/>
      <c r="J28" s="416"/>
      <c r="L28" s="415"/>
      <c r="M28" s="692"/>
      <c r="N28" s="693"/>
      <c r="O28" s="693"/>
      <c r="P28" s="693"/>
      <c r="Q28" s="693"/>
      <c r="R28" s="694"/>
      <c r="S28" s="695"/>
      <c r="T28" s="416"/>
      <c r="V28" s="415"/>
      <c r="W28" s="692"/>
      <c r="X28" s="693"/>
      <c r="Y28" s="693"/>
      <c r="Z28" s="693"/>
      <c r="AA28" s="693"/>
      <c r="AB28" s="694"/>
      <c r="AC28" s="695"/>
      <c r="AD28" s="416"/>
      <c r="AG28" s="415"/>
      <c r="AH28" s="692"/>
      <c r="AI28" s="693"/>
      <c r="AJ28" s="693"/>
      <c r="AK28" s="693"/>
      <c r="AL28" s="693"/>
      <c r="AM28" s="694"/>
      <c r="AN28" s="695"/>
      <c r="AO28" s="416"/>
      <c r="AQ28" s="415"/>
      <c r="AR28" s="417"/>
      <c r="AS28" s="417"/>
      <c r="AT28" s="417"/>
      <c r="AU28" s="417"/>
      <c r="AV28" s="417"/>
      <c r="AW28" s="417"/>
      <c r="AX28" s="417"/>
      <c r="AY28" s="417"/>
      <c r="AZ28" s="416"/>
    </row>
    <row r="29" spans="2:52" ht="12.75" customHeight="1" x14ac:dyDescent="0.2">
      <c r="B29" s="415"/>
      <c r="C29" s="417"/>
      <c r="D29" s="417"/>
      <c r="E29" s="417"/>
      <c r="F29" s="417"/>
      <c r="G29" s="417"/>
      <c r="H29" s="417"/>
      <c r="I29" s="417"/>
      <c r="J29" s="416"/>
      <c r="L29" s="415"/>
      <c r="M29" s="417"/>
      <c r="N29" s="417"/>
      <c r="O29" s="417"/>
      <c r="P29" s="417"/>
      <c r="Q29" s="417"/>
      <c r="R29" s="417"/>
      <c r="S29" s="417"/>
      <c r="T29" s="416"/>
      <c r="V29" s="415"/>
      <c r="W29" s="417"/>
      <c r="X29" s="417"/>
      <c r="Y29" s="417"/>
      <c r="Z29" s="417"/>
      <c r="AA29" s="417"/>
      <c r="AB29" s="417"/>
      <c r="AC29" s="417"/>
      <c r="AD29" s="416"/>
      <c r="AG29" s="415"/>
      <c r="AH29" s="417"/>
      <c r="AI29" s="417"/>
      <c r="AJ29" s="417"/>
      <c r="AK29" s="417"/>
      <c r="AL29" s="417"/>
      <c r="AM29" s="417"/>
      <c r="AN29" s="417"/>
      <c r="AO29" s="416"/>
      <c r="AQ29" s="415"/>
      <c r="AR29" s="417"/>
      <c r="AS29" s="417"/>
      <c r="AT29" s="417"/>
      <c r="AU29" s="417"/>
      <c r="AV29" s="417"/>
      <c r="AW29" s="417"/>
      <c r="AX29" s="417"/>
      <c r="AY29" s="417"/>
      <c r="AZ29" s="416"/>
    </row>
    <row r="30" spans="2:52" ht="12.75" customHeight="1" x14ac:dyDescent="0.2">
      <c r="B30" s="415"/>
      <c r="C30" s="897" t="s">
        <v>295</v>
      </c>
      <c r="D30" s="898"/>
      <c r="E30" s="898"/>
      <c r="F30" s="898"/>
      <c r="G30" s="898"/>
      <c r="H30" s="567"/>
      <c r="I30" s="568"/>
      <c r="J30" s="416"/>
      <c r="L30" s="415"/>
      <c r="M30" s="897" t="s">
        <v>295</v>
      </c>
      <c r="N30" s="898"/>
      <c r="O30" s="898"/>
      <c r="P30" s="898"/>
      <c r="Q30" s="898"/>
      <c r="R30" s="567"/>
      <c r="S30" s="568"/>
      <c r="T30" s="416"/>
      <c r="V30" s="415"/>
      <c r="W30" s="909" t="s">
        <v>385</v>
      </c>
      <c r="X30" s="910"/>
      <c r="Y30" s="910"/>
      <c r="Z30" s="910"/>
      <c r="AA30" s="910"/>
      <c r="AB30" s="910"/>
      <c r="AC30" s="911"/>
      <c r="AD30" s="416"/>
      <c r="AG30" s="415"/>
      <c r="AH30" s="937" t="s">
        <v>298</v>
      </c>
      <c r="AI30" s="938"/>
      <c r="AJ30" s="938"/>
      <c r="AK30" s="938"/>
      <c r="AL30" s="938"/>
      <c r="AM30" s="938"/>
      <c r="AN30" s="709"/>
      <c r="AO30" s="416"/>
      <c r="AQ30" s="415"/>
      <c r="AR30" s="417"/>
      <c r="AS30" s="417"/>
      <c r="AT30" s="417"/>
      <c r="AU30" s="417"/>
      <c r="AV30" s="417"/>
      <c r="AW30" s="417"/>
      <c r="AX30" s="417"/>
      <c r="AY30" s="417"/>
      <c r="AZ30" s="416"/>
    </row>
    <row r="31" spans="2:52" ht="12.75" customHeight="1" x14ac:dyDescent="0.2">
      <c r="B31" s="415"/>
      <c r="C31" s="899"/>
      <c r="D31" s="900"/>
      <c r="E31" s="900"/>
      <c r="F31" s="900"/>
      <c r="G31" s="900"/>
      <c r="H31" s="506"/>
      <c r="I31" s="569"/>
      <c r="J31" s="416"/>
      <c r="L31" s="415"/>
      <c r="M31" s="899"/>
      <c r="N31" s="900"/>
      <c r="O31" s="900"/>
      <c r="P31" s="900"/>
      <c r="Q31" s="900"/>
      <c r="R31" s="506"/>
      <c r="S31" s="569"/>
      <c r="T31" s="416"/>
      <c r="V31" s="415"/>
      <c r="W31" s="912"/>
      <c r="X31" s="913"/>
      <c r="Y31" s="913"/>
      <c r="Z31" s="913"/>
      <c r="AA31" s="913"/>
      <c r="AB31" s="913"/>
      <c r="AC31" s="914"/>
      <c r="AD31" s="416"/>
      <c r="AG31" s="415"/>
      <c r="AH31" s="939"/>
      <c r="AI31" s="940"/>
      <c r="AJ31" s="940"/>
      <c r="AK31" s="940"/>
      <c r="AL31" s="940"/>
      <c r="AM31" s="940"/>
      <c r="AN31" s="710"/>
      <c r="AO31" s="416"/>
      <c r="AQ31" s="415"/>
      <c r="AR31" s="417"/>
      <c r="AS31" s="417"/>
      <c r="AT31" s="417"/>
      <c r="AU31" s="417"/>
      <c r="AV31" s="417"/>
      <c r="AW31" s="417"/>
      <c r="AX31" s="417"/>
      <c r="AY31" s="417"/>
      <c r="AZ31" s="416"/>
    </row>
    <row r="32" spans="2:52" ht="12.75" customHeight="1" x14ac:dyDescent="0.2">
      <c r="B32" s="415"/>
      <c r="C32" s="901"/>
      <c r="D32" s="902"/>
      <c r="E32" s="902"/>
      <c r="F32" s="902"/>
      <c r="G32" s="902"/>
      <c r="H32" s="570"/>
      <c r="I32" s="571"/>
      <c r="J32" s="416"/>
      <c r="L32" s="415"/>
      <c r="M32" s="901"/>
      <c r="N32" s="902"/>
      <c r="O32" s="902"/>
      <c r="P32" s="902"/>
      <c r="Q32" s="902"/>
      <c r="R32" s="570"/>
      <c r="S32" s="571"/>
      <c r="T32" s="416"/>
      <c r="V32" s="415"/>
      <c r="W32" s="912"/>
      <c r="X32" s="913"/>
      <c r="Y32" s="913"/>
      <c r="Z32" s="913"/>
      <c r="AA32" s="913"/>
      <c r="AB32" s="913"/>
      <c r="AC32" s="914"/>
      <c r="AD32" s="416"/>
      <c r="AG32" s="415"/>
      <c r="AH32" s="941"/>
      <c r="AI32" s="942"/>
      <c r="AJ32" s="942"/>
      <c r="AK32" s="942"/>
      <c r="AL32" s="942"/>
      <c r="AM32" s="942"/>
      <c r="AN32" s="711"/>
      <c r="AO32" s="416"/>
      <c r="AQ32" s="415"/>
      <c r="AR32" s="417"/>
      <c r="AS32" s="417"/>
      <c r="AT32" s="417"/>
      <c r="AU32" s="417"/>
      <c r="AV32" s="417"/>
      <c r="AW32" s="417"/>
      <c r="AX32" s="417"/>
      <c r="AY32" s="417"/>
      <c r="AZ32" s="416"/>
    </row>
    <row r="33" spans="1:52" ht="12.75" customHeight="1" x14ac:dyDescent="0.2">
      <c r="B33" s="415"/>
      <c r="C33" s="417"/>
      <c r="D33" s="417"/>
      <c r="E33" s="417"/>
      <c r="F33" s="417"/>
      <c r="G33" s="417"/>
      <c r="H33" s="417"/>
      <c r="I33" s="417"/>
      <c r="J33" s="416"/>
      <c r="L33" s="415"/>
      <c r="M33" s="417"/>
      <c r="N33" s="417"/>
      <c r="O33" s="417"/>
      <c r="P33" s="417"/>
      <c r="Q33" s="417"/>
      <c r="R33" s="417"/>
      <c r="S33" s="417"/>
      <c r="T33" s="416"/>
      <c r="V33" s="415"/>
      <c r="W33" s="691"/>
      <c r="X33" s="888" t="s">
        <v>296</v>
      </c>
      <c r="Y33" s="889"/>
      <c r="Z33" s="889"/>
      <c r="AA33" s="889"/>
      <c r="AB33" s="562"/>
      <c r="AC33" s="696"/>
      <c r="AD33" s="416"/>
      <c r="AG33" s="415"/>
      <c r="AH33" s="417"/>
      <c r="AI33" s="417"/>
      <c r="AJ33" s="417"/>
      <c r="AK33" s="417"/>
      <c r="AL33" s="417"/>
      <c r="AM33" s="417"/>
      <c r="AN33" s="417"/>
      <c r="AO33" s="416"/>
      <c r="AQ33" s="415"/>
      <c r="AR33" s="417"/>
      <c r="AS33" s="417"/>
      <c r="AT33" s="417"/>
      <c r="AU33" s="417"/>
      <c r="AV33" s="417"/>
      <c r="AW33" s="417"/>
      <c r="AX33" s="417"/>
      <c r="AY33" s="417"/>
      <c r="AZ33" s="416"/>
    </row>
    <row r="34" spans="1:52" ht="12.75" customHeight="1" x14ac:dyDescent="0.2">
      <c r="B34" s="415"/>
      <c r="C34" s="417"/>
      <c r="D34" s="417"/>
      <c r="E34" s="417"/>
      <c r="F34" s="417"/>
      <c r="G34" s="417"/>
      <c r="H34" s="417"/>
      <c r="I34" s="417"/>
      <c r="J34" s="416"/>
      <c r="L34" s="415"/>
      <c r="M34" s="417"/>
      <c r="N34" s="417"/>
      <c r="O34" s="417"/>
      <c r="P34" s="417"/>
      <c r="Q34" s="417"/>
      <c r="R34" s="417"/>
      <c r="S34" s="417"/>
      <c r="T34" s="416"/>
      <c r="V34" s="415"/>
      <c r="W34" s="691"/>
      <c r="X34" s="891"/>
      <c r="Y34" s="892"/>
      <c r="Z34" s="892"/>
      <c r="AA34" s="892"/>
      <c r="AB34" s="564"/>
      <c r="AC34" s="696"/>
      <c r="AD34" s="416"/>
      <c r="AG34" s="415"/>
      <c r="AH34" s="937" t="s">
        <v>295</v>
      </c>
      <c r="AI34" s="938"/>
      <c r="AJ34" s="938"/>
      <c r="AK34" s="938"/>
      <c r="AL34" s="938"/>
      <c r="AM34" s="572"/>
      <c r="AN34" s="573"/>
      <c r="AO34" s="416"/>
      <c r="AQ34" s="415"/>
      <c r="AR34" s="417"/>
      <c r="AS34" s="417"/>
      <c r="AT34" s="417"/>
      <c r="AU34" s="417"/>
      <c r="AV34" s="417"/>
      <c r="AW34" s="417"/>
      <c r="AX34" s="417"/>
      <c r="AY34" s="417"/>
      <c r="AZ34" s="416"/>
    </row>
    <row r="35" spans="1:52" ht="12.75" customHeight="1" x14ac:dyDescent="0.2">
      <c r="B35" s="415"/>
      <c r="C35" s="417"/>
      <c r="D35" s="417"/>
      <c r="E35" s="417"/>
      <c r="F35" s="417"/>
      <c r="G35" s="417"/>
      <c r="H35" s="417"/>
      <c r="I35" s="417"/>
      <c r="J35" s="416"/>
      <c r="L35" s="415"/>
      <c r="M35" s="417"/>
      <c r="N35" s="417"/>
      <c r="O35" s="417"/>
      <c r="P35" s="417"/>
      <c r="Q35" s="417"/>
      <c r="R35" s="417"/>
      <c r="S35" s="417"/>
      <c r="T35" s="416"/>
      <c r="V35" s="415"/>
      <c r="W35" s="691"/>
      <c r="X35" s="894"/>
      <c r="Y35" s="895"/>
      <c r="Z35" s="895"/>
      <c r="AA35" s="895"/>
      <c r="AB35" s="566"/>
      <c r="AC35" s="696"/>
      <c r="AD35" s="416"/>
      <c r="AG35" s="415"/>
      <c r="AH35" s="939"/>
      <c r="AI35" s="940"/>
      <c r="AJ35" s="940"/>
      <c r="AK35" s="940"/>
      <c r="AL35" s="940"/>
      <c r="AM35" s="574"/>
      <c r="AN35" s="575"/>
      <c r="AO35" s="416"/>
      <c r="AQ35" s="415"/>
      <c r="AR35" s="417"/>
      <c r="AS35" s="417"/>
      <c r="AT35" s="417"/>
      <c r="AU35" s="417"/>
      <c r="AV35" s="417"/>
      <c r="AW35" s="417"/>
      <c r="AX35" s="417"/>
      <c r="AY35" s="417"/>
      <c r="AZ35" s="416"/>
    </row>
    <row r="36" spans="1:52" ht="12.75" customHeight="1" x14ac:dyDescent="0.2">
      <c r="B36" s="415"/>
      <c r="C36" s="417"/>
      <c r="D36" s="417"/>
      <c r="E36" s="417"/>
      <c r="F36" s="417"/>
      <c r="G36" s="417"/>
      <c r="H36" s="417"/>
      <c r="I36" s="417"/>
      <c r="J36" s="416"/>
      <c r="L36" s="415"/>
      <c r="M36" s="417"/>
      <c r="N36" s="417"/>
      <c r="O36" s="417"/>
      <c r="P36" s="417"/>
      <c r="Q36" s="417"/>
      <c r="R36" s="417"/>
      <c r="S36" s="417"/>
      <c r="T36" s="416"/>
      <c r="V36" s="415"/>
      <c r="W36" s="691"/>
      <c r="X36" s="47"/>
      <c r="Y36" s="47"/>
      <c r="Z36" s="47"/>
      <c r="AA36" s="47"/>
      <c r="AB36" s="47"/>
      <c r="AC36" s="696"/>
      <c r="AD36" s="416"/>
      <c r="AG36" s="415"/>
      <c r="AH36" s="941"/>
      <c r="AI36" s="942"/>
      <c r="AJ36" s="942"/>
      <c r="AK36" s="942"/>
      <c r="AL36" s="942"/>
      <c r="AM36" s="576"/>
      <c r="AN36" s="577"/>
      <c r="AO36" s="416"/>
      <c r="AQ36" s="415"/>
      <c r="AR36" s="417"/>
      <c r="AS36" s="417"/>
      <c r="AT36" s="417"/>
      <c r="AU36" s="417"/>
      <c r="AV36" s="417"/>
      <c r="AW36" s="417"/>
      <c r="AX36" s="417"/>
      <c r="AY36" s="417"/>
      <c r="AZ36" s="416"/>
    </row>
    <row r="37" spans="1:52" ht="12.75" customHeight="1" x14ac:dyDescent="0.2">
      <c r="B37" s="415"/>
      <c r="C37" s="417"/>
      <c r="D37" s="417"/>
      <c r="E37" s="417"/>
      <c r="F37" s="417"/>
      <c r="G37" s="417"/>
      <c r="H37" s="417"/>
      <c r="I37" s="417"/>
      <c r="J37" s="416"/>
      <c r="L37" s="415"/>
      <c r="M37" s="417"/>
      <c r="N37" s="417"/>
      <c r="O37" s="417"/>
      <c r="P37" s="417"/>
      <c r="Q37" s="417"/>
      <c r="R37" s="417"/>
      <c r="S37" s="417"/>
      <c r="T37" s="416"/>
      <c r="V37" s="415"/>
      <c r="W37" s="691"/>
      <c r="X37" s="888" t="s">
        <v>297</v>
      </c>
      <c r="Y37" s="889"/>
      <c r="Z37" s="889"/>
      <c r="AA37" s="889"/>
      <c r="AB37" s="562"/>
      <c r="AC37" s="696"/>
      <c r="AD37" s="416"/>
      <c r="AG37" s="415"/>
      <c r="AH37" s="417"/>
      <c r="AI37" s="417"/>
      <c r="AJ37" s="417"/>
      <c r="AK37" s="417"/>
      <c r="AL37" s="417"/>
      <c r="AM37" s="417"/>
      <c r="AN37" s="417"/>
      <c r="AO37" s="416"/>
      <c r="AQ37" s="415"/>
      <c r="AR37" s="417"/>
      <c r="AS37" s="417"/>
      <c r="AT37" s="417"/>
      <c r="AU37" s="417"/>
      <c r="AV37" s="417"/>
      <c r="AW37" s="417"/>
      <c r="AX37" s="417"/>
      <c r="AY37" s="417"/>
      <c r="AZ37" s="416"/>
    </row>
    <row r="38" spans="1:52" ht="12.75" customHeight="1" x14ac:dyDescent="0.2">
      <c r="B38" s="415"/>
      <c r="C38" s="417"/>
      <c r="D38" s="417"/>
      <c r="E38" s="417"/>
      <c r="F38" s="417"/>
      <c r="G38" s="417"/>
      <c r="H38" s="417"/>
      <c r="I38" s="417"/>
      <c r="J38" s="416"/>
      <c r="L38" s="415"/>
      <c r="M38" s="417"/>
      <c r="N38" s="417"/>
      <c r="O38" s="417"/>
      <c r="P38" s="417"/>
      <c r="Q38" s="417"/>
      <c r="R38" s="417"/>
      <c r="S38" s="417"/>
      <c r="T38" s="416"/>
      <c r="V38" s="415"/>
      <c r="W38" s="691"/>
      <c r="X38" s="891"/>
      <c r="Y38" s="892"/>
      <c r="Z38" s="892"/>
      <c r="AA38" s="892"/>
      <c r="AB38" s="564"/>
      <c r="AC38" s="696"/>
      <c r="AD38" s="416"/>
      <c r="AG38" s="415"/>
      <c r="AH38" s="417"/>
      <c r="AI38" s="417"/>
      <c r="AJ38" s="417"/>
      <c r="AK38" s="417"/>
      <c r="AL38" s="417"/>
      <c r="AM38" s="417"/>
      <c r="AN38" s="417"/>
      <c r="AO38" s="416"/>
      <c r="AQ38" s="415"/>
      <c r="AR38" s="417"/>
      <c r="AS38" s="417"/>
      <c r="AT38" s="417"/>
      <c r="AU38" s="417"/>
      <c r="AV38" s="417"/>
      <c r="AW38" s="417"/>
      <c r="AX38" s="417"/>
      <c r="AY38" s="417"/>
      <c r="AZ38" s="416"/>
    </row>
    <row r="39" spans="1:52" ht="12.75" customHeight="1" x14ac:dyDescent="0.2">
      <c r="B39" s="415"/>
      <c r="C39" s="417"/>
      <c r="D39" s="417"/>
      <c r="E39" s="417"/>
      <c r="F39" s="417"/>
      <c r="G39" s="417"/>
      <c r="H39" s="417"/>
      <c r="I39" s="417"/>
      <c r="J39" s="416"/>
      <c r="L39" s="415"/>
      <c r="M39" s="417"/>
      <c r="N39" s="417"/>
      <c r="O39" s="417"/>
      <c r="P39" s="417"/>
      <c r="Q39" s="417"/>
      <c r="R39" s="417"/>
      <c r="S39" s="417"/>
      <c r="T39" s="416"/>
      <c r="V39" s="415"/>
      <c r="W39" s="691"/>
      <c r="X39" s="894"/>
      <c r="Y39" s="895"/>
      <c r="Z39" s="895"/>
      <c r="AA39" s="895"/>
      <c r="AB39" s="566"/>
      <c r="AC39" s="696"/>
      <c r="AD39" s="416"/>
      <c r="AG39" s="415"/>
      <c r="AH39" s="417"/>
      <c r="AI39" s="417"/>
      <c r="AJ39" s="417"/>
      <c r="AK39" s="417"/>
      <c r="AL39" s="417"/>
      <c r="AM39" s="417"/>
      <c r="AN39" s="417"/>
      <c r="AO39" s="416"/>
      <c r="AQ39" s="415"/>
      <c r="AR39" s="417"/>
      <c r="AS39" s="417"/>
      <c r="AT39" s="417"/>
      <c r="AU39" s="417"/>
      <c r="AV39" s="417"/>
      <c r="AW39" s="417"/>
      <c r="AX39" s="417"/>
      <c r="AY39" s="417"/>
      <c r="AZ39" s="416"/>
    </row>
    <row r="40" spans="1:52" ht="12.75" customHeight="1" x14ac:dyDescent="0.2">
      <c r="B40" s="415"/>
      <c r="C40" s="417"/>
      <c r="D40" s="417"/>
      <c r="E40" s="417"/>
      <c r="F40" s="417"/>
      <c r="G40" s="417"/>
      <c r="H40" s="417"/>
      <c r="I40" s="417"/>
      <c r="J40" s="416"/>
      <c r="L40" s="415"/>
      <c r="M40" s="417"/>
      <c r="N40" s="417"/>
      <c r="O40" s="417"/>
      <c r="P40" s="417"/>
      <c r="Q40" s="417"/>
      <c r="R40" s="417"/>
      <c r="S40" s="417"/>
      <c r="T40" s="416"/>
      <c r="V40" s="415"/>
      <c r="W40" s="692"/>
      <c r="X40" s="698"/>
      <c r="Y40" s="698"/>
      <c r="Z40" s="698"/>
      <c r="AA40" s="698"/>
      <c r="AB40" s="698"/>
      <c r="AC40" s="695"/>
      <c r="AD40" s="416"/>
      <c r="AG40" s="415"/>
      <c r="AH40" s="417"/>
      <c r="AI40" s="417"/>
      <c r="AJ40" s="417"/>
      <c r="AK40" s="417"/>
      <c r="AL40" s="417"/>
      <c r="AM40" s="417"/>
      <c r="AN40" s="417"/>
      <c r="AO40" s="416"/>
      <c r="AQ40" s="415"/>
      <c r="AR40" s="417"/>
      <c r="AS40" s="417"/>
      <c r="AT40" s="417"/>
      <c r="AU40" s="417"/>
      <c r="AV40" s="417"/>
      <c r="AW40" s="417"/>
      <c r="AX40" s="417"/>
      <c r="AY40" s="417"/>
      <c r="AZ40" s="416"/>
    </row>
    <row r="41" spans="1:52" ht="12.75" customHeight="1" thickBot="1" x14ac:dyDescent="0.25">
      <c r="B41" s="501"/>
      <c r="C41" s="502"/>
      <c r="D41" s="502"/>
      <c r="E41" s="502"/>
      <c r="F41" s="502"/>
      <c r="G41" s="502"/>
      <c r="H41" s="502"/>
      <c r="I41" s="502"/>
      <c r="J41" s="503"/>
      <c r="L41" s="501"/>
      <c r="M41" s="502"/>
      <c r="N41" s="502"/>
      <c r="O41" s="502"/>
      <c r="P41" s="502"/>
      <c r="Q41" s="502"/>
      <c r="R41" s="502"/>
      <c r="S41" s="502"/>
      <c r="T41" s="503"/>
      <c r="V41" s="501"/>
      <c r="W41" s="502"/>
      <c r="X41" s="502"/>
      <c r="Y41" s="502"/>
      <c r="Z41" s="502"/>
      <c r="AA41" s="502"/>
      <c r="AB41" s="502"/>
      <c r="AC41" s="502"/>
      <c r="AD41" s="503"/>
      <c r="AG41" s="501"/>
      <c r="AH41" s="502"/>
      <c r="AI41" s="502"/>
      <c r="AJ41" s="502"/>
      <c r="AK41" s="502"/>
      <c r="AL41" s="502"/>
      <c r="AM41" s="502"/>
      <c r="AN41" s="502"/>
      <c r="AO41" s="503"/>
      <c r="AQ41" s="501"/>
      <c r="AR41" s="502"/>
      <c r="AS41" s="502"/>
      <c r="AT41" s="502"/>
      <c r="AU41" s="502"/>
      <c r="AV41" s="502"/>
      <c r="AW41" s="502"/>
      <c r="AX41" s="502"/>
      <c r="AY41" s="502"/>
      <c r="AZ41" s="503"/>
    </row>
    <row r="42" spans="1:52" ht="12.75" customHeight="1" x14ac:dyDescent="0.2">
      <c r="B42"/>
      <c r="C42"/>
      <c r="D42"/>
      <c r="E42"/>
      <c r="F42"/>
      <c r="G42" s="504"/>
      <c r="H42"/>
      <c r="I42"/>
      <c r="J42"/>
      <c r="K42"/>
      <c r="L42"/>
      <c r="M42"/>
      <c r="N42"/>
      <c r="O42"/>
      <c r="P42"/>
      <c r="Q42" s="504"/>
      <c r="R42"/>
      <c r="S42"/>
      <c r="T42"/>
      <c r="U42"/>
      <c r="V42"/>
      <c r="W42"/>
      <c r="X42"/>
      <c r="Y42"/>
      <c r="Z42"/>
      <c r="AA42" s="504"/>
      <c r="AB42"/>
      <c r="AC42"/>
      <c r="AD42"/>
      <c r="AE42"/>
      <c r="AF42"/>
      <c r="AG42"/>
      <c r="AH42"/>
      <c r="AI42"/>
      <c r="AJ42"/>
      <c r="AK42"/>
      <c r="AL42" s="504"/>
      <c r="AM42"/>
      <c r="AN42"/>
      <c r="AO42"/>
      <c r="AP42"/>
      <c r="AQ42"/>
      <c r="AR42"/>
      <c r="AS42"/>
      <c r="AT42"/>
      <c r="AU42"/>
      <c r="AV42"/>
      <c r="AW42" s="504"/>
      <c r="AX42"/>
      <c r="AY42"/>
      <c r="AZ42"/>
    </row>
    <row r="43" spans="1:52" ht="12.75" customHeight="1" x14ac:dyDescent="0.2">
      <c r="A43" s="242"/>
      <c r="B43" s="243"/>
      <c r="C43" s="243"/>
      <c r="D43" s="243"/>
      <c r="E43" s="243"/>
      <c r="F43" s="243"/>
      <c r="G43" s="584"/>
      <c r="H43" s="584"/>
      <c r="I43" s="584"/>
      <c r="J43" s="584"/>
      <c r="K43" s="584"/>
      <c r="L43" s="584"/>
      <c r="M43" s="505"/>
      <c r="N43" s="505"/>
      <c r="O43" s="505"/>
      <c r="P43" s="505"/>
      <c r="Q43" s="505"/>
      <c r="R43" s="505"/>
      <c r="S43" s="505"/>
      <c r="T43" s="505"/>
      <c r="U43" s="505"/>
      <c r="V43" s="505"/>
      <c r="W43" s="505"/>
      <c r="X43" s="505"/>
      <c r="Y43" s="505"/>
      <c r="Z43" s="505"/>
      <c r="AA43" s="544"/>
      <c r="AB43" s="948"/>
      <c r="AC43" s="948"/>
      <c r="AD43" s="948"/>
      <c r="AE43" s="948"/>
      <c r="AF43" s="948"/>
      <c r="AG43" s="948"/>
      <c r="AH43" s="505"/>
      <c r="AI43" s="505"/>
      <c r="AJ43" s="505"/>
      <c r="AK43" s="505"/>
      <c r="AL43" s="505"/>
      <c r="AM43" s="505"/>
      <c r="AN43" s="505"/>
      <c r="AO43" s="505"/>
      <c r="AP43" s="505"/>
      <c r="AQ43" s="505"/>
      <c r="AR43" s="505"/>
      <c r="AS43" s="505"/>
      <c r="AT43" s="505"/>
      <c r="AU43" s="505"/>
      <c r="AV43" s="505"/>
      <c r="AW43"/>
      <c r="AX43"/>
      <c r="AY43"/>
      <c r="AZ43"/>
    </row>
    <row r="44" spans="1:52" ht="12.75" hidden="1" customHeight="1" thickBot="1" x14ac:dyDescent="0.25">
      <c r="A44" s="242"/>
      <c r="B44" s="628"/>
      <c r="C44" s="884" t="b">
        <f>IF(AND(selezione_passo_descrizione_intervento="x",ImportoOneri_Nuovadif&gt;0),TRUE,FALSE)</f>
        <v>0</v>
      </c>
      <c r="D44" s="884"/>
      <c r="E44" s="884"/>
      <c r="F44" s="884" t="b">
        <f>VLOOKUP(TRUE,$C$44:$E$49,1)</f>
        <v>0</v>
      </c>
      <c r="G44" s="884"/>
      <c r="H44" s="629"/>
      <c r="I44" s="887"/>
      <c r="J44" s="887"/>
      <c r="K44" s="629"/>
      <c r="L44" s="629"/>
      <c r="M44" s="628"/>
      <c r="N44" s="628"/>
      <c r="O44" s="628"/>
      <c r="P44" s="628"/>
      <c r="Q44" s="628"/>
      <c r="R44" s="628"/>
      <c r="U44" s="411"/>
      <c r="AA44" s="407"/>
      <c r="AB44" s="408"/>
      <c r="AC44" s="408"/>
      <c r="AD44" s="408"/>
      <c r="AE44" s="408"/>
      <c r="AF44" s="418"/>
    </row>
    <row r="45" spans="1:52" ht="12.75" hidden="1" customHeight="1" x14ac:dyDescent="0.2">
      <c r="A45" s="242"/>
      <c r="B45" s="628"/>
      <c r="C45" s="884" t="b">
        <f>IF(AND(selezione_passo_descrizione_intervento="x",ImportoOneri_Ristrutt+ImportoOneri_Ristrutt_Sost&gt;0),TRUE,FALSE)</f>
        <v>0</v>
      </c>
      <c r="D45" s="884"/>
      <c r="E45" s="884"/>
      <c r="F45" s="884"/>
      <c r="G45" s="884"/>
      <c r="H45" s="629"/>
      <c r="I45" s="628"/>
      <c r="J45" s="629"/>
      <c r="K45" s="629"/>
      <c r="L45" s="629"/>
      <c r="M45" s="628"/>
      <c r="N45" s="628"/>
      <c r="O45" s="628"/>
      <c r="P45" s="628"/>
      <c r="Q45" s="628"/>
      <c r="R45" s="628"/>
      <c r="U45" s="411"/>
      <c r="AA45" s="545"/>
      <c r="AC45" s="949" t="s">
        <v>288</v>
      </c>
      <c r="AD45" s="950"/>
      <c r="AE45" s="950"/>
      <c r="AF45" s="950"/>
      <c r="AG45" s="950"/>
      <c r="AH45" s="548"/>
      <c r="AI45" s="549"/>
    </row>
    <row r="46" spans="1:52" ht="12.75" hidden="1" customHeight="1" x14ac:dyDescent="0.2">
      <c r="A46" s="242"/>
      <c r="B46" s="628"/>
      <c r="C46" s="884" t="b">
        <f>IF(AND(selezione_passo_descrizione_intervento="x",ImportoOneriUrb1_NuovaDest&lt;&gt;0),TRUE,FALSE)</f>
        <v>0</v>
      </c>
      <c r="D46" s="884"/>
      <c r="E46" s="884"/>
      <c r="F46" s="557"/>
      <c r="G46" s="557"/>
      <c r="H46" s="629"/>
      <c r="I46" s="628"/>
      <c r="J46" s="628"/>
      <c r="K46" s="628"/>
      <c r="L46" s="628"/>
      <c r="M46" s="628"/>
      <c r="N46" s="628"/>
      <c r="O46" s="628"/>
      <c r="P46" s="628"/>
      <c r="Q46" s="628"/>
      <c r="R46" s="628"/>
      <c r="U46" s="954" t="s">
        <v>289</v>
      </c>
      <c r="V46" s="954"/>
      <c r="W46" s="954"/>
      <c r="X46" s="954"/>
      <c r="Y46" s="954"/>
      <c r="Z46" s="955"/>
      <c r="AA46" s="545"/>
      <c r="AC46" s="951"/>
      <c r="AD46" s="900"/>
      <c r="AE46" s="900"/>
      <c r="AF46" s="900"/>
      <c r="AG46" s="900"/>
      <c r="AH46" s="506"/>
      <c r="AI46" s="550"/>
    </row>
    <row r="47" spans="1:52" ht="12.75" hidden="1" customHeight="1" thickBot="1" x14ac:dyDescent="0.25">
      <c r="A47" s="242"/>
      <c r="B47" s="628"/>
      <c r="C47" s="884" t="b">
        <f>IF(AND(selezione_passo_descrizione_intervento="x",ImportoOneriUrb2_NuovaDest&lt;&gt;0),TRUE,FALSE)</f>
        <v>0</v>
      </c>
      <c r="D47" s="884"/>
      <c r="E47" s="884"/>
      <c r="F47" s="557"/>
      <c r="G47" s="557"/>
      <c r="H47" s="629"/>
      <c r="I47" s="628"/>
      <c r="J47" s="628"/>
      <c r="K47" s="628"/>
      <c r="L47" s="628"/>
      <c r="M47" s="628"/>
      <c r="N47" s="628"/>
      <c r="O47" s="628"/>
      <c r="P47" s="628"/>
      <c r="Q47" s="628"/>
      <c r="R47" s="628"/>
      <c r="AA47" s="545"/>
      <c r="AC47" s="952"/>
      <c r="AD47" s="953"/>
      <c r="AE47" s="953"/>
      <c r="AF47" s="953"/>
      <c r="AG47" s="953"/>
      <c r="AH47" s="551"/>
      <c r="AI47" s="552"/>
    </row>
    <row r="48" spans="1:52" ht="12.75" hidden="1" customHeight="1" x14ac:dyDescent="0.2">
      <c r="A48" s="242"/>
      <c r="B48" s="628"/>
      <c r="C48" s="884" t="b">
        <f>IF(AND(selezione_passo_descrizione_intervento="x",ImportoOneriSmaltimentoRif&lt;&gt;0),TRUE,FALSE)</f>
        <v>0</v>
      </c>
      <c r="D48" s="884"/>
      <c r="E48" s="884"/>
      <c r="F48" s="558"/>
      <c r="G48" s="558"/>
      <c r="H48" s="628"/>
      <c r="I48" s="628"/>
      <c r="J48" s="628"/>
      <c r="K48" s="628"/>
      <c r="L48" s="628"/>
      <c r="M48" s="628"/>
      <c r="N48" s="628"/>
      <c r="O48" s="628"/>
      <c r="P48" s="628"/>
      <c r="Q48" s="628"/>
      <c r="R48" s="628"/>
      <c r="AA48" s="546"/>
      <c r="AF48" s="547"/>
    </row>
    <row r="49" spans="1:39" ht="12.75" hidden="1" customHeight="1" x14ac:dyDescent="0.2">
      <c r="A49" s="242"/>
      <c r="B49" s="628"/>
      <c r="C49" s="884" t="b">
        <f>IF(AND(selezione_passo_descrizione_intervento="x",ImportoOneriSmaltRif_NuovaDest&lt;&gt;0),TRUE,FALSE)</f>
        <v>0</v>
      </c>
      <c r="D49" s="884"/>
      <c r="E49" s="884"/>
      <c r="F49" s="558"/>
      <c r="G49" s="558"/>
      <c r="H49" s="628"/>
      <c r="I49" s="628"/>
      <c r="J49" s="628"/>
      <c r="K49" s="628"/>
      <c r="L49" s="628"/>
      <c r="M49" s="628"/>
      <c r="N49" s="628"/>
      <c r="O49" s="628"/>
      <c r="P49" s="628"/>
      <c r="Q49" s="628"/>
      <c r="R49" s="628"/>
      <c r="AA49" s="407"/>
      <c r="AB49" s="408"/>
      <c r="AC49" s="408"/>
      <c r="AD49" s="408"/>
      <c r="AE49" s="408"/>
      <c r="AF49" s="408"/>
    </row>
    <row r="50" spans="1:39" ht="13.5" thickBot="1" x14ac:dyDescent="0.25">
      <c r="A50" s="242"/>
      <c r="B50" s="628"/>
      <c r="C50" s="884" t="b">
        <f>IF(AND(selezione_passo_descrizione_intervento="x",ImportoOneri_RecSott&gt;0),TRUE,FALSE)</f>
        <v>0</v>
      </c>
      <c r="D50" s="884"/>
      <c r="E50" s="884"/>
      <c r="F50" s="558"/>
      <c r="G50" s="558"/>
      <c r="H50" s="628"/>
      <c r="I50" s="628"/>
      <c r="J50" s="628"/>
      <c r="K50" s="628"/>
      <c r="L50" s="628"/>
      <c r="M50" s="628"/>
      <c r="N50" s="628"/>
      <c r="O50" s="628"/>
      <c r="P50" s="628"/>
      <c r="Q50" s="628"/>
      <c r="R50" s="628"/>
      <c r="U50" s="555"/>
      <c r="V50" s="556"/>
      <c r="W50" s="408"/>
      <c r="X50" s="408"/>
      <c r="Y50" s="408"/>
      <c r="Z50" s="408"/>
      <c r="AA50" s="408"/>
      <c r="AB50" s="408"/>
      <c r="AC50" s="408"/>
      <c r="AD50" s="418"/>
      <c r="AE50" s="545"/>
      <c r="AF50" s="411"/>
    </row>
    <row r="51" spans="1:39" ht="13.5" customHeight="1" thickTop="1" x14ac:dyDescent="0.2">
      <c r="A51" s="242"/>
      <c r="B51" s="628"/>
      <c r="C51" s="884" t="b">
        <f>IF(AND(selezione_passo_descrizione_intervento="x",ImportoOneri_CambioUso&gt;0),TRUE,FALSE)</f>
        <v>0</v>
      </c>
      <c r="D51" s="884"/>
      <c r="E51" s="884"/>
      <c r="F51" s="558"/>
      <c r="G51" s="558"/>
      <c r="H51" s="628"/>
      <c r="I51" s="628"/>
      <c r="J51" s="628"/>
      <c r="K51" s="628"/>
      <c r="L51" s="628"/>
      <c r="M51" s="628"/>
      <c r="N51" s="628"/>
      <c r="O51" s="628"/>
      <c r="P51" s="628"/>
      <c r="Q51" s="628"/>
      <c r="R51" s="628"/>
      <c r="T51" s="943" t="s">
        <v>299</v>
      </c>
      <c r="U51" s="944"/>
      <c r="V51" s="944"/>
      <c r="W51" s="944"/>
      <c r="X51" s="578"/>
      <c r="Y51" s="579"/>
      <c r="AB51" s="956" t="s">
        <v>383</v>
      </c>
      <c r="AC51" s="957"/>
      <c r="AD51" s="957"/>
      <c r="AE51" s="957"/>
      <c r="AF51" s="957"/>
      <c r="AG51" s="958"/>
      <c r="AH51" s="580"/>
    </row>
    <row r="52" spans="1:39" x14ac:dyDescent="0.2">
      <c r="A52" s="242"/>
      <c r="B52" s="628"/>
      <c r="C52" s="884" t="b">
        <f>IF(AND(selezione_passo_descrizione_intervento="x",F52&gt;0),TRUE,FALSE)</f>
        <v>0</v>
      </c>
      <c r="D52" s="884"/>
      <c r="E52" s="884"/>
      <c r="F52" s="884">
        <f>DetClasse_SupUtile+DetClasseEdificio_SupUtile</f>
        <v>0</v>
      </c>
      <c r="G52" s="884"/>
      <c r="H52" s="628"/>
      <c r="I52" s="628"/>
      <c r="J52" s="628"/>
      <c r="K52" s="628"/>
      <c r="L52" s="628"/>
      <c r="M52" s="628"/>
      <c r="N52" s="628"/>
      <c r="O52" s="628"/>
      <c r="P52" s="628"/>
      <c r="Q52" s="628"/>
      <c r="R52" s="628"/>
      <c r="T52" s="945"/>
      <c r="U52" s="892"/>
      <c r="V52" s="892"/>
      <c r="W52" s="892"/>
      <c r="X52" s="580"/>
      <c r="Y52" s="581"/>
      <c r="AB52" s="959"/>
      <c r="AC52" s="892"/>
      <c r="AD52" s="892"/>
      <c r="AE52" s="892"/>
      <c r="AF52" s="892"/>
      <c r="AG52" s="960"/>
      <c r="AH52" s="580"/>
      <c r="AL52" s="411"/>
      <c r="AM52" s="411"/>
    </row>
    <row r="53" spans="1:39" ht="13.5" thickBot="1" x14ac:dyDescent="0.25">
      <c r="A53" s="242"/>
      <c r="B53" s="628"/>
      <c r="C53" s="884" t="b">
        <f ca="1">IF(AND(selezione_passo_descrizione_intervento="x",CostoCost_Nuov_Ampl_EscCorrisposto&gt;0),TRUE,FALSE)</f>
        <v>0</v>
      </c>
      <c r="D53" s="884"/>
      <c r="E53" s="884"/>
      <c r="F53" s="884"/>
      <c r="G53" s="884"/>
      <c r="H53" s="628"/>
      <c r="I53" s="628"/>
      <c r="J53" s="628"/>
      <c r="K53" s="628"/>
      <c r="L53" s="628"/>
      <c r="M53" s="628"/>
      <c r="N53" s="628"/>
      <c r="O53" s="628"/>
      <c r="P53" s="628"/>
      <c r="Q53" s="628"/>
      <c r="R53" s="628"/>
      <c r="T53" s="946"/>
      <c r="U53" s="947"/>
      <c r="V53" s="947"/>
      <c r="W53" s="947"/>
      <c r="X53" s="582"/>
      <c r="Y53" s="583"/>
      <c r="AB53" s="961"/>
      <c r="AC53" s="962"/>
      <c r="AD53" s="962"/>
      <c r="AE53" s="962"/>
      <c r="AF53" s="962"/>
      <c r="AG53" s="963"/>
      <c r="AH53" s="580"/>
    </row>
    <row r="54" spans="1:39" ht="13.5" thickTop="1" x14ac:dyDescent="0.2">
      <c r="A54" s="242"/>
      <c r="B54" s="628"/>
      <c r="C54" s="884" t="b">
        <f ca="1">IF(AND(selezione_passo_descrizione_intervento="x",CostoCost_Ristr_EscCorrisposto&gt;0),TRUE,FALSE)</f>
        <v>0</v>
      </c>
      <c r="D54" s="884"/>
      <c r="E54" s="884"/>
      <c r="F54" s="558"/>
      <c r="G54" s="558"/>
      <c r="H54" s="628"/>
      <c r="I54" s="628"/>
      <c r="J54" s="628"/>
      <c r="K54" s="628"/>
      <c r="L54" s="628"/>
      <c r="M54" s="628"/>
      <c r="N54" s="628"/>
      <c r="O54" s="628"/>
      <c r="P54" s="628"/>
      <c r="Q54" s="628"/>
      <c r="R54" s="628"/>
    </row>
    <row r="55" spans="1:39" hidden="1" x14ac:dyDescent="0.2">
      <c r="A55" s="242"/>
      <c r="B55" s="628"/>
      <c r="C55" s="884" t="b">
        <f ca="1">IF(AND(selezione_passo_descrizione_intervento="x",CostoCost_Sott_ContEscMagg&lt;&gt;0),TRUE,FALSE)</f>
        <v>0</v>
      </c>
      <c r="D55" s="884"/>
      <c r="E55" s="884"/>
      <c r="F55" s="558"/>
      <c r="G55" s="558"/>
      <c r="H55" s="628"/>
      <c r="I55" s="628"/>
      <c r="J55" s="628"/>
      <c r="K55" s="628"/>
      <c r="L55" s="628"/>
      <c r="M55" s="628"/>
      <c r="N55" s="628"/>
      <c r="O55" s="628"/>
      <c r="P55" s="628"/>
      <c r="Q55" s="628"/>
      <c r="R55" s="628"/>
    </row>
    <row r="56" spans="1:39" hidden="1" x14ac:dyDescent="0.2">
      <c r="A56" s="242"/>
      <c r="B56" s="628"/>
      <c r="C56" s="558"/>
      <c r="D56" s="558"/>
      <c r="E56" s="558"/>
      <c r="F56" s="558"/>
      <c r="G56" s="558"/>
      <c r="H56" s="628"/>
      <c r="I56" s="628"/>
      <c r="J56" s="628"/>
      <c r="K56" s="628"/>
      <c r="L56" s="628"/>
      <c r="M56" s="628"/>
      <c r="N56" s="628"/>
      <c r="O56" s="628"/>
      <c r="P56" s="628"/>
      <c r="Q56" s="628"/>
      <c r="R56" s="628"/>
    </row>
    <row r="57" spans="1:39" hidden="1" x14ac:dyDescent="0.2">
      <c r="A57" s="242"/>
      <c r="B57" s="628"/>
      <c r="C57" s="884" t="b">
        <f>IF(AND(selezione_passo_descrizione_intervento="x",Riepilogo_MonetizzAreeStand&gt;0),TRUE,FALSE)</f>
        <v>0</v>
      </c>
      <c r="D57" s="884"/>
      <c r="E57" s="884"/>
      <c r="F57" s="884" t="b">
        <f>VLOOKUP(TRUE,$C$57:$E$58,1)</f>
        <v>0</v>
      </c>
      <c r="G57" s="884"/>
      <c r="H57" s="628"/>
      <c r="I57" s="628"/>
      <c r="J57" s="628"/>
      <c r="K57" s="628"/>
      <c r="L57" s="628"/>
      <c r="M57" s="628"/>
      <c r="N57" s="628"/>
      <c r="O57" s="628"/>
      <c r="P57" s="628"/>
      <c r="Q57" s="628"/>
      <c r="R57" s="628"/>
    </row>
    <row r="58" spans="1:39" hidden="1" x14ac:dyDescent="0.2">
      <c r="A58" s="242"/>
      <c r="B58" s="628"/>
      <c r="C58" s="884" t="b">
        <f>IF(AND(selezione_passo_descrizione_intervento="x",Riepilogo_MonetizzParcheggi&gt;0),TRUE,FALSE)</f>
        <v>0</v>
      </c>
      <c r="D58" s="884"/>
      <c r="E58" s="884"/>
      <c r="F58" s="558"/>
      <c r="G58" s="558"/>
      <c r="H58" s="628"/>
      <c r="I58" s="628"/>
      <c r="J58" s="628"/>
      <c r="K58" s="628"/>
      <c r="L58" s="628"/>
      <c r="M58" s="628"/>
      <c r="N58" s="628"/>
      <c r="O58" s="628"/>
      <c r="P58" s="628"/>
      <c r="Q58" s="628"/>
      <c r="R58" s="628"/>
    </row>
    <row r="59" spans="1:39" hidden="1" x14ac:dyDescent="0.2">
      <c r="A59" s="242"/>
      <c r="B59" s="628"/>
      <c r="C59" s="558"/>
      <c r="D59" s="558"/>
      <c r="E59" s="558"/>
      <c r="F59" s="558"/>
      <c r="G59" s="558"/>
      <c r="H59" s="628"/>
      <c r="I59" s="628"/>
      <c r="J59" s="628"/>
      <c r="K59" s="628"/>
      <c r="L59" s="628"/>
      <c r="M59" s="628"/>
      <c r="N59" s="628"/>
      <c r="O59" s="628"/>
      <c r="P59" s="628"/>
      <c r="Q59" s="628"/>
      <c r="R59" s="628"/>
    </row>
    <row r="60" spans="1:39" hidden="1" x14ac:dyDescent="0.2">
      <c r="A60" s="242"/>
      <c r="B60" s="628"/>
      <c r="C60" s="884" t="b">
        <f>IF(AND(selezione_passo_descrizione_intervento="x",CostoCostStatoFatto_ContributoDovuto&lt;&gt;0),TRUE,FALSE)</f>
        <v>0</v>
      </c>
      <c r="D60" s="884"/>
      <c r="E60" s="884"/>
      <c r="F60" s="558"/>
      <c r="G60" s="558"/>
      <c r="H60" s="628"/>
      <c r="I60" s="628"/>
      <c r="J60" s="628"/>
      <c r="K60" s="628"/>
      <c r="L60" s="628"/>
      <c r="M60" s="628"/>
      <c r="N60" s="628"/>
      <c r="O60" s="628"/>
      <c r="P60" s="628"/>
      <c r="Q60" s="628"/>
      <c r="R60" s="628"/>
    </row>
    <row r="61" spans="1:39" hidden="1" x14ac:dyDescent="0.2">
      <c r="A61" s="242"/>
      <c r="B61" s="628"/>
      <c r="C61" s="884" t="b">
        <f>IF(AND(selezione_passo_descrizione_intervento="x",CostoCostProg_ContributoDovuto&gt;0),TRUE,FALSE)</f>
        <v>0</v>
      </c>
      <c r="D61" s="884"/>
      <c r="E61" s="884"/>
      <c r="F61" s="558"/>
      <c r="G61" s="558"/>
      <c r="H61" s="628"/>
      <c r="I61" s="628"/>
      <c r="J61" s="628"/>
      <c r="K61" s="628"/>
      <c r="L61" s="628"/>
      <c r="M61" s="628"/>
      <c r="N61" s="628"/>
      <c r="O61" s="628"/>
      <c r="P61" s="628"/>
      <c r="Q61" s="628"/>
      <c r="R61" s="628"/>
    </row>
    <row r="62" spans="1:39" hidden="1" x14ac:dyDescent="0.2">
      <c r="A62" s="242"/>
      <c r="B62" s="628"/>
      <c r="C62" s="558"/>
      <c r="D62" s="558"/>
      <c r="E62" s="558"/>
      <c r="F62" s="558"/>
      <c r="G62" s="558"/>
      <c r="H62" s="628"/>
      <c r="I62" s="628"/>
      <c r="J62" s="628"/>
      <c r="K62" s="628"/>
      <c r="L62" s="628"/>
      <c r="M62" s="628"/>
      <c r="N62" s="628"/>
      <c r="O62" s="628"/>
      <c r="P62" s="628"/>
      <c r="Q62" s="628"/>
      <c r="R62" s="628"/>
    </row>
    <row r="63" spans="1:39" hidden="1" x14ac:dyDescent="0.2">
      <c r="A63" s="242"/>
      <c r="B63" s="628"/>
      <c r="C63" s="884" t="b">
        <f>IF(AND(selezione_passo_descrizione_intervento="x",Volume_Recupero_Sottotetti&gt;0),TRUE,FALSE)</f>
        <v>0</v>
      </c>
      <c r="D63" s="884"/>
      <c r="E63" s="884"/>
      <c r="F63" s="884"/>
      <c r="G63" s="884"/>
      <c r="H63" s="628"/>
      <c r="I63" s="628"/>
      <c r="J63" s="628"/>
      <c r="K63" s="628"/>
      <c r="L63" s="628"/>
      <c r="M63" s="628"/>
      <c r="N63" s="628"/>
      <c r="O63" s="628"/>
      <c r="P63" s="628"/>
      <c r="Q63" s="628"/>
      <c r="R63" s="628"/>
    </row>
    <row r="64" spans="1:39" hidden="1" x14ac:dyDescent="0.2">
      <c r="A64" s="242"/>
      <c r="B64" s="628"/>
      <c r="C64" s="628"/>
      <c r="D64" s="628"/>
      <c r="E64" s="628"/>
      <c r="F64" s="628"/>
      <c r="G64" s="628"/>
      <c r="H64" s="628"/>
      <c r="I64" s="628"/>
      <c r="J64" s="628"/>
      <c r="K64" s="628"/>
      <c r="L64" s="628"/>
      <c r="M64" s="628"/>
      <c r="N64" s="628"/>
      <c r="O64" s="628"/>
      <c r="P64" s="628"/>
      <c r="Q64" s="628"/>
      <c r="R64" s="628"/>
    </row>
    <row r="65" spans="1:38" hidden="1" x14ac:dyDescent="0.2">
      <c r="A65" s="242"/>
      <c r="B65" s="628"/>
      <c r="C65" s="628"/>
      <c r="D65" s="628"/>
      <c r="E65" s="628"/>
      <c r="F65" s="628"/>
      <c r="G65" s="628"/>
      <c r="H65" s="628"/>
      <c r="I65" s="628"/>
      <c r="J65" s="628"/>
      <c r="K65" s="628"/>
      <c r="L65" s="628"/>
      <c r="M65" s="628"/>
      <c r="N65" s="628"/>
      <c r="O65" s="628"/>
      <c r="P65" s="628"/>
      <c r="Q65" s="628"/>
      <c r="R65" s="628"/>
    </row>
    <row r="66" spans="1:38" hidden="1" x14ac:dyDescent="0.2">
      <c r="A66" s="242"/>
      <c r="B66" s="628"/>
      <c r="C66" s="628"/>
      <c r="D66" s="628"/>
      <c r="E66" s="628"/>
      <c r="F66" s="628"/>
      <c r="G66" s="628"/>
      <c r="H66" s="628"/>
      <c r="I66" s="628"/>
      <c r="J66" s="628"/>
      <c r="K66" s="628"/>
      <c r="L66" s="628"/>
      <c r="M66" s="628"/>
      <c r="N66" s="628"/>
      <c r="O66" s="628"/>
      <c r="P66" s="628"/>
      <c r="Q66" s="628"/>
      <c r="R66" s="628"/>
    </row>
    <row r="67" spans="1:38" hidden="1" x14ac:dyDescent="0.2">
      <c r="A67" s="242"/>
      <c r="B67" s="628"/>
      <c r="C67" s="628"/>
      <c r="D67" s="628"/>
      <c r="E67" s="628"/>
      <c r="F67" s="628"/>
      <c r="G67" s="628"/>
      <c r="H67" s="628"/>
      <c r="I67" s="628"/>
      <c r="J67" s="628"/>
      <c r="K67" s="628"/>
      <c r="L67" s="628"/>
      <c r="M67" s="628"/>
      <c r="N67" s="628"/>
      <c r="O67" s="628"/>
      <c r="P67" s="628"/>
      <c r="Q67" s="628"/>
      <c r="R67" s="628"/>
    </row>
    <row r="68" spans="1:38" hidden="1" x14ac:dyDescent="0.2">
      <c r="A68" s="242"/>
      <c r="B68" s="628"/>
      <c r="C68" s="628"/>
      <c r="D68" s="628"/>
      <c r="E68" s="628"/>
      <c r="F68" s="628"/>
      <c r="G68" s="628"/>
      <c r="H68" s="628"/>
      <c r="I68" s="628"/>
      <c r="J68" s="628"/>
      <c r="K68" s="628"/>
      <c r="L68" s="628"/>
      <c r="M68" s="628"/>
      <c r="N68" s="628"/>
      <c r="O68" s="628"/>
      <c r="P68" s="628"/>
      <c r="Q68" s="628"/>
      <c r="R68" s="628"/>
    </row>
    <row r="69" spans="1:38" hidden="1" x14ac:dyDescent="0.2">
      <c r="A69" s="242"/>
      <c r="B69" s="628"/>
      <c r="C69" s="628"/>
      <c r="D69" s="628"/>
      <c r="E69" s="628"/>
      <c r="F69" s="628"/>
      <c r="G69" s="628"/>
      <c r="H69" s="628"/>
      <c r="I69" s="628"/>
      <c r="J69" s="628"/>
      <c r="K69" s="628"/>
      <c r="L69" s="628"/>
      <c r="M69" s="628"/>
      <c r="N69" s="628"/>
      <c r="O69" s="628"/>
      <c r="P69" s="628"/>
      <c r="Q69" s="628"/>
      <c r="R69" s="628"/>
    </row>
    <row r="70" spans="1:38" hidden="1" x14ac:dyDescent="0.2">
      <c r="B70" s="628"/>
      <c r="C70" s="628"/>
      <c r="D70" s="628"/>
      <c r="E70" s="628"/>
      <c r="F70" s="628"/>
      <c r="G70" s="628"/>
      <c r="H70" s="628"/>
      <c r="I70" s="628"/>
      <c r="J70" s="628"/>
      <c r="K70" s="628"/>
      <c r="L70" s="628"/>
      <c r="M70" s="628"/>
      <c r="N70" s="628"/>
      <c r="O70" s="628"/>
      <c r="P70" s="628"/>
      <c r="Q70" s="628"/>
      <c r="R70" s="628"/>
    </row>
    <row r="75" spans="1:38" hidden="1" x14ac:dyDescent="0.2">
      <c r="AK75" s="411"/>
      <c r="AL75" s="411"/>
    </row>
  </sheetData>
  <sheetProtection sheet="1" insertRows="0"/>
  <mergeCells count="72">
    <mergeCell ref="D25:G27"/>
    <mergeCell ref="C30:G32"/>
    <mergeCell ref="T51:W53"/>
    <mergeCell ref="AB43:AG43"/>
    <mergeCell ref="AC45:AG47"/>
    <mergeCell ref="U46:Z46"/>
    <mergeCell ref="AB51:AG53"/>
    <mergeCell ref="W11:AA13"/>
    <mergeCell ref="X21:AA23"/>
    <mergeCell ref="X25:AA27"/>
    <mergeCell ref="X33:AA35"/>
    <mergeCell ref="X37:AA39"/>
    <mergeCell ref="X17:AA19"/>
    <mergeCell ref="W30:AC32"/>
    <mergeCell ref="W15:AC16"/>
    <mergeCell ref="AR15:AW17"/>
    <mergeCell ref="AI25:AL27"/>
    <mergeCell ref="AH34:AL36"/>
    <mergeCell ref="AR11:AY13"/>
    <mergeCell ref="AH11:AN13"/>
    <mergeCell ref="AI17:AL19"/>
    <mergeCell ref="AI21:AL23"/>
    <mergeCell ref="AH30:AM32"/>
    <mergeCell ref="AH15:AN16"/>
    <mergeCell ref="B8:B9"/>
    <mergeCell ref="C8:J9"/>
    <mergeCell ref="AR8:AZ9"/>
    <mergeCell ref="L8:L9"/>
    <mergeCell ref="W3:W5"/>
    <mergeCell ref="X3:AB5"/>
    <mergeCell ref="W8:AD9"/>
    <mergeCell ref="AH8:AO9"/>
    <mergeCell ref="AQ8:AQ9"/>
    <mergeCell ref="AG8:AG9"/>
    <mergeCell ref="C15:I16"/>
    <mergeCell ref="M15:S16"/>
    <mergeCell ref="D21:G23"/>
    <mergeCell ref="N21:Q23"/>
    <mergeCell ref="V8:V9"/>
    <mergeCell ref="M8:T9"/>
    <mergeCell ref="E2:S4"/>
    <mergeCell ref="C2:D4"/>
    <mergeCell ref="C48:E48"/>
    <mergeCell ref="I44:J44"/>
    <mergeCell ref="F44:G44"/>
    <mergeCell ref="C46:E46"/>
    <mergeCell ref="F45:G45"/>
    <mergeCell ref="C45:E45"/>
    <mergeCell ref="C44:E44"/>
    <mergeCell ref="C47:E47"/>
    <mergeCell ref="M11:S13"/>
    <mergeCell ref="C11:G13"/>
    <mergeCell ref="M30:Q32"/>
    <mergeCell ref="N25:Q27"/>
    <mergeCell ref="D17:G19"/>
    <mergeCell ref="N17:Q19"/>
    <mergeCell ref="C63:E63"/>
    <mergeCell ref="F63:G63"/>
    <mergeCell ref="C57:E57"/>
    <mergeCell ref="C58:E58"/>
    <mergeCell ref="C55:E55"/>
    <mergeCell ref="F57:G57"/>
    <mergeCell ref="C60:E60"/>
    <mergeCell ref="C61:E61"/>
    <mergeCell ref="C54:E54"/>
    <mergeCell ref="C49:E49"/>
    <mergeCell ref="C52:E52"/>
    <mergeCell ref="C53:E53"/>
    <mergeCell ref="F52:G52"/>
    <mergeCell ref="F53:G53"/>
    <mergeCell ref="C50:E50"/>
    <mergeCell ref="C51:E51"/>
  </mergeCells>
  <conditionalFormatting sqref="B8:B9">
    <cfRule type="expression" dxfId="140" priority="241">
      <formula>AND(selezione_passo_descrizione_intervento="x",selezione_nuova_costruzione="o")</formula>
    </cfRule>
  </conditionalFormatting>
  <conditionalFormatting sqref="V8:V9">
    <cfRule type="expression" dxfId="139" priority="240">
      <formula>AND(selezione_passo_descrizione_intervento="x",selezione_ristrutturazione="o")</formula>
    </cfRule>
  </conditionalFormatting>
  <conditionalFormatting sqref="AG8:AG9">
    <cfRule type="expression" dxfId="138" priority="239">
      <formula>AND(selezione_passo_descrizione_intervento="x",selezione_sottotetti="o")</formula>
    </cfRule>
  </conditionalFormatting>
  <conditionalFormatting sqref="AQ8:AQ9">
    <cfRule type="expression" dxfId="137" priority="238">
      <formula>AND(selezione_passo_descrizione_intervento="x",selezione_cambio_uso="o")</formula>
    </cfRule>
  </conditionalFormatting>
  <conditionalFormatting sqref="L8:L9">
    <cfRule type="expression" dxfId="136" priority="115">
      <formula>AND(selezione_passo_descrizione_intervento="x",selezione_ampliamento="o")</formula>
    </cfRule>
  </conditionalFormatting>
  <conditionalFormatting sqref="AC45:AI47">
    <cfRule type="expression" dxfId="135" priority="80">
      <formula>AND(Rateizzazione_ImportoFidejussione&gt;0,Rateizzazione_ScadenzaFidejussione&gt;0)</formula>
    </cfRule>
  </conditionalFormatting>
  <conditionalFormatting sqref="W3:AC5">
    <cfRule type="expression" dxfId="134" priority="78" stopIfTrue="1">
      <formula>selezione_passo_descrizione_intervento="x"</formula>
    </cfRule>
  </conditionalFormatting>
  <conditionalFormatting sqref="AR15 AX15:AY17">
    <cfRule type="expression" dxfId="133" priority="30">
      <formula>IF(selezione_cambio_uso="x",$F$57=TRUE)</formula>
    </cfRule>
    <cfRule type="expression" dxfId="132" priority="253">
      <formula>AND(selezione_passo_descrizione_intervento="x",selezione_cambio_uso="x")</formula>
    </cfRule>
  </conditionalFormatting>
  <conditionalFormatting sqref="M11:S13">
    <cfRule type="expression" dxfId="131" priority="28">
      <formula>AND(selezione_ampliamento="x",$C$44=TRUE)</formula>
    </cfRule>
    <cfRule type="expression" dxfId="130" priority="29">
      <formula>AND(selezione_passo_descrizione_intervento="x",selezione_ampliamento="x")</formula>
    </cfRule>
  </conditionalFormatting>
  <conditionalFormatting sqref="AH11:AN13">
    <cfRule type="expression" dxfId="129" priority="22">
      <formula>AND(selezione_sottotetti="x",$C$50=TRUE)</formula>
    </cfRule>
    <cfRule type="expression" dxfId="128" priority="23">
      <formula>AND(selezione_passo_descrizione_intervento="x",selezione_sottotetti="x")</formula>
    </cfRule>
  </conditionalFormatting>
  <conditionalFormatting sqref="AR11:AY13">
    <cfRule type="expression" dxfId="127" priority="20">
      <formula>AND(selezione_cambio_uso="x",$C$51=TRUE)</formula>
    </cfRule>
    <cfRule type="expression" dxfId="126" priority="21">
      <formula>AND(selezione_passo_descrizione_intervento="x",selezione_cambio_uso="x")</formula>
    </cfRule>
  </conditionalFormatting>
  <conditionalFormatting sqref="D21:H23">
    <cfRule type="expression" dxfId="125" priority="4">
      <formula>AND(selezione_nuova_costruzione="x",ClasseEdificioDefault="Sì")</formula>
    </cfRule>
    <cfRule type="expression" dxfId="124" priority="52">
      <formula>AND(selezione_nuova_costruzione="x",FormulaHide1&gt;0)</formula>
    </cfRule>
    <cfRule type="expression" dxfId="123" priority="242">
      <formula>AND(selezione_passo_descrizione_intervento="x",selezione_nuova_costruzione="x")</formula>
    </cfRule>
  </conditionalFormatting>
  <conditionalFormatting sqref="N21:R23">
    <cfRule type="expression" dxfId="122" priority="3">
      <formula>AND(selezione_ampliamento="x",ClasseEdificioDefault="Sì")</formula>
    </cfRule>
    <cfRule type="expression" dxfId="121" priority="48">
      <formula>AND(selezione_ampliamento="x",FormulaHide1&gt;0)</formula>
    </cfRule>
    <cfRule type="expression" dxfId="120" priority="243">
      <formula>AND(selezione_passo_descrizione_intervento="x",selezione_ampliamento="x")</formula>
    </cfRule>
  </conditionalFormatting>
  <conditionalFormatting sqref="X21:AB23">
    <cfRule type="expression" dxfId="119" priority="2">
      <formula>AND(selezione_ristrutturazione="x",ClasseEdificioDefault="Sì")</formula>
    </cfRule>
    <cfRule type="expression" dxfId="118" priority="44">
      <formula>AND(selezione_ristrutturazione="x",FormulaHide1&gt;0)</formula>
    </cfRule>
    <cfRule type="expression" dxfId="117" priority="244">
      <formula>AND(selezione_passo_descrizione_intervento="x",selezione_ristrutturazione="x")</formula>
    </cfRule>
  </conditionalFormatting>
  <conditionalFormatting sqref="AI21:AM23">
    <cfRule type="expression" dxfId="116" priority="1">
      <formula>AND(selezione_sottotetti="x",ClasseEdificioDefault="Sì")</formula>
    </cfRule>
    <cfRule type="expression" dxfId="115" priority="39">
      <formula>AND(selezione_sottotetti="x",FormulaHide1&gt;0)</formula>
    </cfRule>
    <cfRule type="expression" dxfId="114" priority="245">
      <formula>AND(selezione_passo_descrizione_intervento="x",selezione_sottotetti="x")</formula>
    </cfRule>
  </conditionalFormatting>
  <conditionalFormatting sqref="D25:H27">
    <cfRule type="expression" dxfId="113" priority="51">
      <formula>AND(selezione_nuova_costruzione="x",$C$53=TRUE)</formula>
    </cfRule>
    <cfRule type="expression" dxfId="112" priority="247">
      <formula>AND(selezione_passo_descrizione_intervento="x",selezione_nuova_costruzione="x")</formula>
    </cfRule>
  </conditionalFormatting>
  <conditionalFormatting sqref="N25:R27">
    <cfRule type="expression" dxfId="111" priority="47">
      <formula>IF(selezione_ampliamento="x",$C$54=TRUE)</formula>
    </cfRule>
    <cfRule type="expression" dxfId="110" priority="249">
      <formula>AND(selezione_passo_descrizione_intervento="x",selezione_ampliamento="x")</formula>
    </cfRule>
  </conditionalFormatting>
  <conditionalFormatting sqref="X25:AB27">
    <cfRule type="expression" dxfId="109" priority="15">
      <formula>IF(selezione_ristrutturazione="x",$C$54=TRUE)</formula>
    </cfRule>
    <cfRule type="expression" dxfId="108" priority="16">
      <formula>AND(selezione_passo_descrizione_intervento="x",selezione_ristrutturazione="x")</formula>
    </cfRule>
  </conditionalFormatting>
  <conditionalFormatting sqref="AI25:AM27">
    <cfRule type="expression" dxfId="107" priority="38">
      <formula>AND(selezione_sottotetti="x",$C$55=TRUE)</formula>
    </cfRule>
    <cfRule type="expression" dxfId="106" priority="64">
      <formula>AND(selezione_passo_descrizione_intervento="x",selezione_sottotetti="x")</formula>
    </cfRule>
  </conditionalFormatting>
  <conditionalFormatting sqref="C11:I13">
    <cfRule type="expression" dxfId="105" priority="26">
      <formula>AND(selezione_nuova_costruzione="x",$C$44=TRUE)</formula>
    </cfRule>
    <cfRule type="expression" dxfId="104" priority="27">
      <formula>AND(selezione_passo_descrizione_intervento="x",selezione_nuova_costruzione="x")</formula>
    </cfRule>
  </conditionalFormatting>
  <conditionalFormatting sqref="D17:H19">
    <cfRule type="expression" dxfId="103" priority="13">
      <formula>AND(selezione_nuova_costruzione="x",COUNTIF(elenco_riepilogo_sua_snr,"&gt;0"))</formula>
    </cfRule>
    <cfRule type="expression" dxfId="102" priority="14">
      <formula>AND(selezione_passo_descrizione_intervento="x",selezione_nuova_costruzione="x")</formula>
    </cfRule>
  </conditionalFormatting>
  <conditionalFormatting sqref="C30:I32">
    <cfRule type="expression" dxfId="101" priority="50">
      <formula>AND(selezione_nuova_costruzione="x",$F$57=TRUE)</formula>
    </cfRule>
    <cfRule type="expression" dxfId="100" priority="250">
      <formula>AND(selezione_passo_descrizione_intervento="x",selezione_nuova_costruzione="x")</formula>
    </cfRule>
  </conditionalFormatting>
  <conditionalFormatting sqref="N17:R19">
    <cfRule type="expression" dxfId="99" priority="11">
      <formula>AND(selezione_ampliamento="x",COUNTIF(elenco_riepilogo_sua_snr,"&gt;0"))</formula>
    </cfRule>
    <cfRule type="expression" dxfId="98" priority="12">
      <formula>AND(selezione_passo_descrizione_intervento="x",selezione_ampliamento="x")</formula>
    </cfRule>
  </conditionalFormatting>
  <conditionalFormatting sqref="M30:S32">
    <cfRule type="expression" dxfId="97" priority="46">
      <formula>IF(selezione_ampliamento="x",$F$57=TRUE)</formula>
    </cfRule>
    <cfRule type="expression" dxfId="96" priority="251">
      <formula>AND(selezione_passo_descrizione_intervento="x",selezione_ampliamento="x")</formula>
    </cfRule>
  </conditionalFormatting>
  <conditionalFormatting sqref="W11:AC13">
    <cfRule type="expression" dxfId="95" priority="24">
      <formula>AND(selezione_ristrutturazione="X",$C$45=TRUE)</formula>
    </cfRule>
    <cfRule type="expression" dxfId="94" priority="25">
      <formula>AND(selezione_passo_descrizione_intervento="x",selezione_ristrutturazione="x")</formula>
    </cfRule>
  </conditionalFormatting>
  <conditionalFormatting sqref="X17:AB19">
    <cfRule type="expression" dxfId="93" priority="9">
      <formula>AND(selezione_ristrutturazione="x",COUNTIF(elenco_riepilogo_sua_snr,"&gt;0"))</formula>
    </cfRule>
    <cfRule type="expression" dxfId="92" priority="10">
      <formula>AND(selezione_passo_descrizione_intervento="x",selezione_ristrutturazione="x")</formula>
    </cfRule>
  </conditionalFormatting>
  <conditionalFormatting sqref="X33:AB35">
    <cfRule type="expression" dxfId="91" priority="42">
      <formula>AND(selezione_ristrutturazione="x",$C$60,TRUE)</formula>
    </cfRule>
    <cfRule type="expression" dxfId="90" priority="59">
      <formula>AND(selezione_passo_descrizione_intervento="x",selezione_ristrutturazione="x")</formula>
    </cfRule>
  </conditionalFormatting>
  <conditionalFormatting sqref="X37:AB39">
    <cfRule type="expression" dxfId="89" priority="41">
      <formula>AND(selezione_ristrutturazione="x",$C$61,TRUE)</formula>
    </cfRule>
    <cfRule type="expression" dxfId="88" priority="58">
      <formula>AND(selezione_passo_descrizione_intervento="x",selezione_ristrutturazione="x")</formula>
    </cfRule>
  </conditionalFormatting>
  <conditionalFormatting sqref="AI17:AM19">
    <cfRule type="expression" dxfId="87" priority="7">
      <formula>AND(selezione_sottotetti="x",COUNTIF(elenco_riepilogo_sua_snr,"&gt;0"))</formula>
    </cfRule>
    <cfRule type="expression" dxfId="86" priority="8">
      <formula>AND(selezione_passo_descrizione_intervento="x",selezione_sottotetti="x")</formula>
    </cfRule>
  </conditionalFormatting>
  <conditionalFormatting sqref="AH30 AN30:AN32">
    <cfRule type="expression" dxfId="85" priority="37">
      <formula>AND(selezione_sottotetti="x",$C$63,TRUE)</formula>
    </cfRule>
    <cfRule type="expression" dxfId="84" priority="54">
      <formula>AND(selezione_passo_descrizione_intervento="x",selezione_sottotetti="x")</formula>
    </cfRule>
  </conditionalFormatting>
  <conditionalFormatting sqref="AH34:AN36">
    <cfRule type="expression" dxfId="83" priority="36">
      <formula>IF(selezione_sottotetti="x",$F$57=TRUE)</formula>
    </cfRule>
    <cfRule type="expression" dxfId="82" priority="252">
      <formula>AND(selezione_passo_descrizione_intervento="x",selezione_sottotetti="x")</formula>
    </cfRule>
  </conditionalFormatting>
  <dataValidations count="2">
    <dataValidation type="list" operator="equal" allowBlank="1" showInputMessage="1" showErrorMessage="1" sqref="B8:B9 L8:L9" xr:uid="{00000000-0002-0000-0000-000000000000}">
      <formula1>opzioni</formula1>
    </dataValidation>
    <dataValidation type="list" allowBlank="1" showInputMessage="1" showErrorMessage="1" sqref="AG8:AG9 AQ8:AQ9 AQ23:AQ24 AA6 V8:V9 W3:W5" xr:uid="{00000000-0002-0000-0000-000001000000}">
      <formula1>opzioni</formula1>
    </dataValidation>
  </dataValidations>
  <hyperlinks>
    <hyperlink ref="M11:S13" location="'Descrizione dell''intervento'!A1" display="Calcola gli oneri di urbanizzazione" xr:uid="{00000000-0004-0000-0000-000000000000}"/>
    <hyperlink ref="AH11:AN13" location="'Descrizione dell''intervento'!A1" display="Calcola gli oneri di urbanizzazione" xr:uid="{00000000-0004-0000-0000-000001000000}"/>
    <hyperlink ref="AR11:AY13" location="'Descrizione dell''intervento'!A1" display="Calcola gli  oneri di urbanizzazione" xr:uid="{00000000-0004-0000-0000-000002000000}"/>
    <hyperlink ref="C11:G13" location="'Descrizione dell''intervento'!A1" display="Calcola gli oneri di urbanizzazione" xr:uid="{00000000-0004-0000-0000-000003000000}"/>
    <hyperlink ref="D21:G23" location="'Determinazione classe'!A1" display="Determina la classe dell'edificio" xr:uid="{00000000-0004-0000-0000-000004000000}"/>
    <hyperlink ref="D25:G27" location="'Costo Costruzione'!A1" display="Calcola il costo di costruzione" xr:uid="{00000000-0004-0000-0000-000005000000}"/>
    <hyperlink ref="C30:G32" location="link_monetizzazione_standards" display="Calcola la monetizzazione" xr:uid="{00000000-0004-0000-0000-000006000000}"/>
    <hyperlink ref="N21:Q23" location="'Determinazione classe'!A1" display="Determina la classe dell'edificio" xr:uid="{00000000-0004-0000-0000-000007000000}"/>
    <hyperlink ref="N25:Q27" location="'Costo Costruzione'!A1" display="Calcola il costo di costruzione" xr:uid="{00000000-0004-0000-0000-000008000000}"/>
    <hyperlink ref="M30:Q32" location="link_monetizzazione_standards" display="Calcola la monetizzazione" xr:uid="{00000000-0004-0000-0000-000009000000}"/>
    <hyperlink ref="W11:AA13" location="'Descrizione dell''intervento'!A1" display="Calcola gli oneri di urbanizzazione" xr:uid="{00000000-0004-0000-0000-00000A000000}"/>
    <hyperlink ref="X21:AA23" location="'Determinazione classe'!A1" display="Determina la         classe         dell'edificio" xr:uid="{00000000-0004-0000-0000-00000B000000}"/>
    <hyperlink ref="X25:AA27" location="'Costo Costruzione'!A1" display="Calcola il costo di costruzione" xr:uid="{00000000-0004-0000-0000-00000C000000}"/>
    <hyperlink ref="X33:AA35" location="'Costo costruzione statofatto'!A1" display="Costo per lo stato di fatto" xr:uid="{00000000-0004-0000-0000-00000D000000}"/>
    <hyperlink ref="X37:AA39" location="'Costo costruzione progetto'!A1" display="Costo per lo               stato di progetto" xr:uid="{00000000-0004-0000-0000-00000E000000}"/>
    <hyperlink ref="AI21:AL23" location="'Determinazione classe'!A1" display="Determina la          classe          dell'edificio" xr:uid="{00000000-0004-0000-0000-00000F000000}"/>
    <hyperlink ref="AI25:AL27" location="'Costo Costruzione'!A1" display="Calcola il costo di costruzione" xr:uid="{00000000-0004-0000-0000-000010000000}"/>
    <hyperlink ref="AH30:AL32" location="'Calcolo superficie parcheggio'!A1" display="Calcola la superficie da adibire a parcheggi" xr:uid="{00000000-0004-0000-0000-000011000000}"/>
    <hyperlink ref="AH34:AL36" location="link_monetizzazione_standards" display="Calcola la monetizzazione" xr:uid="{00000000-0004-0000-0000-000012000000}"/>
    <hyperlink ref="AR15:AW17" location="link_monetizzazione_standards" display="Calcola la monetizzazione" xr:uid="{00000000-0004-0000-0000-000013000000}"/>
    <hyperlink ref="T51:W53" location="'Riepilogo generale'!A1" display="Visualizza il               riepilogo generale" xr:uid="{00000000-0004-0000-0000-000014000000}"/>
    <hyperlink ref="AB51:AF53" location="'Riepilogo oneri e costi'!A1" display="Visualizza il riepilogo analitico degli oneri e costi" xr:uid="{00000000-0004-0000-0000-000015000000}"/>
    <hyperlink ref="D17:G19" location="'Determinazione classe'!A1" display="Determina la classe dell'edificio" xr:uid="{00000000-0004-0000-0000-000016000000}"/>
    <hyperlink ref="N17:Q19" location="'Determinazione classe'!A1" display="Determina la classe dell'edificio" xr:uid="{00000000-0004-0000-0000-000017000000}"/>
    <hyperlink ref="X17:AA19" location="'Determinazione classe'!A1" display="Determina la classe dell'edificio" xr:uid="{00000000-0004-0000-0000-000018000000}"/>
    <hyperlink ref="AI17:AL19" location="'Determinazione classe'!A1" display="Determina la classe dell'edificio" xr:uid="{00000000-0004-0000-0000-000019000000}"/>
    <hyperlink ref="D17:H19" location="'Calcolo superfici edificio'!A1" display="Calcola le superfici dell'edificio" xr:uid="{00000000-0004-0000-0000-00001A000000}"/>
    <hyperlink ref="N17:R19" location="'Calcolo superfici edificio'!A1" display="Calcola le superfici dell'edificio" xr:uid="{00000000-0004-0000-0000-00001B000000}"/>
    <hyperlink ref="X17:AB19" location="'Calcolo superfici edificio'!A1" display="Calcola le superfici dell'edificio" xr:uid="{00000000-0004-0000-0000-00001C000000}"/>
    <hyperlink ref="AI17:AM19" location="'Calcolo superfici edificio'!A1" display="Calcola le superfici dell'edificio" xr:uid="{00000000-0004-0000-0000-00001D000000}"/>
    <hyperlink ref="AH30:AN32" location="Info_CalcoloSuperficieParcheggio" display="Calcola la superficie da adibire a parcheggi" xr:uid="{00000000-0004-0000-0000-00001E000000}"/>
  </hyperlinks>
  <pageMargins left="0.11811023622047245" right="0.19685039370078741" top="0.55118110236220474" bottom="0.15748031496062992" header="0.31496062992125984" footer="0.31496062992125984"/>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66"/>
  </sheetPr>
  <dimension ref="A1:IU24"/>
  <sheetViews>
    <sheetView showGridLines="0" workbookViewId="0"/>
  </sheetViews>
  <sheetFormatPr defaultColWidth="0" defaultRowHeight="12.75" zeroHeight="1" x14ac:dyDescent="0.2"/>
  <cols>
    <col min="1" max="1" width="5.7109375" customWidth="1"/>
    <col min="2" max="2" width="7.7109375" customWidth="1"/>
    <col min="3" max="4" width="15.7109375" customWidth="1"/>
    <col min="5" max="5" width="18.7109375" customWidth="1"/>
    <col min="6" max="6" width="9.140625" hidden="1" customWidth="1"/>
    <col min="7" max="255" width="0" hidden="1" customWidth="1"/>
    <col min="256" max="16384" width="11.42578125" hidden="1"/>
  </cols>
  <sheetData>
    <row r="1" spans="1:6" x14ac:dyDescent="0.2"/>
    <row r="2" spans="1:6" ht="45" customHeight="1" thickBot="1" x14ac:dyDescent="0.25">
      <c r="A2" s="706" t="s">
        <v>24</v>
      </c>
      <c r="B2" s="1269" t="s">
        <v>207</v>
      </c>
      <c r="C2" s="1269"/>
      <c r="D2" s="1269"/>
      <c r="E2" s="393"/>
      <c r="F2" s="393"/>
    </row>
    <row r="3" spans="1:6" ht="38.25" x14ac:dyDescent="0.2">
      <c r="B3" s="144" t="s">
        <v>85</v>
      </c>
      <c r="C3" s="145" t="s">
        <v>208</v>
      </c>
      <c r="D3" s="146" t="s">
        <v>95</v>
      </c>
      <c r="E3" s="51"/>
    </row>
    <row r="4" spans="1:6" ht="12.75" customHeight="1" x14ac:dyDescent="0.2">
      <c r="B4" s="810" t="str">
        <f>IF(C4&gt;0,1,"")</f>
        <v/>
      </c>
      <c r="C4" s="445">
        <v>0</v>
      </c>
      <c r="D4" s="812">
        <f t="shared" ref="D4:D22" si="0">IF(C4/10&gt;25,25,C4/10)</f>
        <v>0</v>
      </c>
    </row>
    <row r="5" spans="1:6" ht="12.75" customHeight="1" x14ac:dyDescent="0.2">
      <c r="B5" s="810" t="str">
        <f>IF(C5&gt;0,B4+1,"")</f>
        <v/>
      </c>
      <c r="C5" s="445">
        <v>0</v>
      </c>
      <c r="D5" s="812">
        <f t="shared" si="0"/>
        <v>0</v>
      </c>
      <c r="E5" s="1119" t="s">
        <v>242</v>
      </c>
    </row>
    <row r="6" spans="1:6" ht="12.75" customHeight="1" x14ac:dyDescent="0.2">
      <c r="B6" s="810" t="str">
        <f t="shared" ref="B6:B21" si="1">IF(C6&gt;0,B5+1,"")</f>
        <v/>
      </c>
      <c r="C6" s="445">
        <v>0</v>
      </c>
      <c r="D6" s="812">
        <f t="shared" si="0"/>
        <v>0</v>
      </c>
      <c r="E6" s="1119"/>
    </row>
    <row r="7" spans="1:6" ht="12.75" customHeight="1" x14ac:dyDescent="0.2">
      <c r="B7" s="810" t="str">
        <f t="shared" si="1"/>
        <v/>
      </c>
      <c r="C7" s="445">
        <v>0</v>
      </c>
      <c r="D7" s="812">
        <f t="shared" si="0"/>
        <v>0</v>
      </c>
    </row>
    <row r="8" spans="1:6" ht="12.75" customHeight="1" x14ac:dyDescent="0.2">
      <c r="B8" s="810" t="str">
        <f t="shared" si="1"/>
        <v/>
      </c>
      <c r="C8" s="445">
        <v>0</v>
      </c>
      <c r="D8" s="812">
        <f t="shared" si="0"/>
        <v>0</v>
      </c>
    </row>
    <row r="9" spans="1:6" ht="12.75" customHeight="1" x14ac:dyDescent="0.2">
      <c r="B9" s="810" t="str">
        <f t="shared" si="1"/>
        <v/>
      </c>
      <c r="C9" s="445">
        <v>0</v>
      </c>
      <c r="D9" s="812">
        <f t="shared" si="0"/>
        <v>0</v>
      </c>
    </row>
    <row r="10" spans="1:6" ht="12.75" customHeight="1" x14ac:dyDescent="0.2">
      <c r="B10" s="810" t="str">
        <f t="shared" si="1"/>
        <v/>
      </c>
      <c r="C10" s="445">
        <v>0</v>
      </c>
      <c r="D10" s="812">
        <f t="shared" si="0"/>
        <v>0</v>
      </c>
    </row>
    <row r="11" spans="1:6" ht="12.75" customHeight="1" x14ac:dyDescent="0.2">
      <c r="B11" s="810" t="str">
        <f t="shared" si="1"/>
        <v/>
      </c>
      <c r="C11" s="445">
        <v>0</v>
      </c>
      <c r="D11" s="812">
        <f t="shared" si="0"/>
        <v>0</v>
      </c>
    </row>
    <row r="12" spans="1:6" ht="12.75" customHeight="1" x14ac:dyDescent="0.2">
      <c r="B12" s="810" t="str">
        <f t="shared" si="1"/>
        <v/>
      </c>
      <c r="C12" s="445">
        <v>0</v>
      </c>
      <c r="D12" s="812">
        <f t="shared" si="0"/>
        <v>0</v>
      </c>
    </row>
    <row r="13" spans="1:6" ht="12.75" customHeight="1" x14ac:dyDescent="0.2">
      <c r="B13" s="810" t="str">
        <f t="shared" si="1"/>
        <v/>
      </c>
      <c r="C13" s="445">
        <v>0</v>
      </c>
      <c r="D13" s="812">
        <f t="shared" si="0"/>
        <v>0</v>
      </c>
    </row>
    <row r="14" spans="1:6" ht="12.75" customHeight="1" x14ac:dyDescent="0.2">
      <c r="B14" s="810" t="str">
        <f t="shared" si="1"/>
        <v/>
      </c>
      <c r="C14" s="445">
        <v>0</v>
      </c>
      <c r="D14" s="812">
        <f t="shared" si="0"/>
        <v>0</v>
      </c>
    </row>
    <row r="15" spans="1:6" ht="12.75" customHeight="1" x14ac:dyDescent="0.2">
      <c r="B15" s="810" t="str">
        <f t="shared" si="1"/>
        <v/>
      </c>
      <c r="C15" s="445">
        <v>0</v>
      </c>
      <c r="D15" s="812">
        <f t="shared" si="0"/>
        <v>0</v>
      </c>
    </row>
    <row r="16" spans="1:6" ht="12.75" customHeight="1" x14ac:dyDescent="0.2">
      <c r="B16" s="810" t="str">
        <f t="shared" si="1"/>
        <v/>
      </c>
      <c r="C16" s="445">
        <v>0</v>
      </c>
      <c r="D16" s="812">
        <f t="shared" si="0"/>
        <v>0</v>
      </c>
    </row>
    <row r="17" spans="2:4" ht="12.75" customHeight="1" x14ac:dyDescent="0.2">
      <c r="B17" s="810" t="str">
        <f t="shared" si="1"/>
        <v/>
      </c>
      <c r="C17" s="445">
        <v>0</v>
      </c>
      <c r="D17" s="812">
        <f t="shared" si="0"/>
        <v>0</v>
      </c>
    </row>
    <row r="18" spans="2:4" ht="12.75" customHeight="1" x14ac:dyDescent="0.2">
      <c r="B18" s="810" t="str">
        <f t="shared" si="1"/>
        <v/>
      </c>
      <c r="C18" s="445">
        <v>0</v>
      </c>
      <c r="D18" s="812">
        <f t="shared" si="0"/>
        <v>0</v>
      </c>
    </row>
    <row r="19" spans="2:4" ht="12.75" customHeight="1" x14ac:dyDescent="0.2">
      <c r="B19" s="810" t="str">
        <f t="shared" si="1"/>
        <v/>
      </c>
      <c r="C19" s="445">
        <v>0</v>
      </c>
      <c r="D19" s="812">
        <f t="shared" si="0"/>
        <v>0</v>
      </c>
    </row>
    <row r="20" spans="2:4" ht="12.75" customHeight="1" x14ac:dyDescent="0.2">
      <c r="B20" s="810" t="str">
        <f t="shared" si="1"/>
        <v/>
      </c>
      <c r="C20" s="445">
        <v>0</v>
      </c>
      <c r="D20" s="812">
        <f t="shared" si="0"/>
        <v>0</v>
      </c>
    </row>
    <row r="21" spans="2:4" ht="12.75" customHeight="1" x14ac:dyDescent="0.2">
      <c r="B21" s="810" t="str">
        <f t="shared" si="1"/>
        <v/>
      </c>
      <c r="C21" s="445">
        <v>0</v>
      </c>
      <c r="D21" s="812">
        <f t="shared" si="0"/>
        <v>0</v>
      </c>
    </row>
    <row r="22" spans="2:4" ht="12.75" customHeight="1" thickBot="1" x14ac:dyDescent="0.25">
      <c r="B22" s="811" t="str">
        <f>IF(C22&gt;0,B21+1,"")</f>
        <v/>
      </c>
      <c r="C22" s="446">
        <v>0</v>
      </c>
      <c r="D22" s="813">
        <f t="shared" si="0"/>
        <v>0</v>
      </c>
    </row>
    <row r="23" spans="2:4" ht="15.75" x14ac:dyDescent="0.25">
      <c r="B23" s="141" t="s">
        <v>99</v>
      </c>
      <c r="C23" s="814">
        <f>SUM(C4:C22)</f>
        <v>0</v>
      </c>
      <c r="D23" s="815">
        <f>SUM(D4:D22)</f>
        <v>0</v>
      </c>
    </row>
    <row r="24" spans="2:4" x14ac:dyDescent="0.2"/>
  </sheetData>
  <sheetProtection sheet="1" insertRows="0"/>
  <mergeCells count="2">
    <mergeCell ref="B2:D2"/>
    <mergeCell ref="E5:E6"/>
  </mergeCells>
  <dataValidations count="1">
    <dataValidation allowBlank="1" showInputMessage="1" showErrorMessage="1" promptTitle="LR 12/05, art. 64" prompt="Inserisci la volumetria delle nuove unità immobiliari realizzate attraverso il recupero dei sottotetti e determina così la superficie da adibire a parcheggio (1 mq ogni 10 mc fino ad un massimo di 25 mq)" sqref="A2" xr:uid="{00000000-0002-0000-0900-000000000000}"/>
  </dataValidations>
  <hyperlinks>
    <hyperlink ref="E5:E6" location="'Procedura guidata'!A1" display="Torna alla procedura guidata!" xr:uid="{00000000-0004-0000-0900-000000000000}"/>
  </hyperlinks>
  <printOptions horizontalCentered="1"/>
  <pageMargins left="0.70866141732283472" right="0.70866141732283472" top="1.3130314960629921" bottom="0.74803149606299213" header="0.31496062992125984" footer="0.3149606299212598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66"/>
  </sheetPr>
  <dimension ref="A1:AR200"/>
  <sheetViews>
    <sheetView showGridLines="0" topLeftCell="A55" workbookViewId="0">
      <selection activeCell="H98" sqref="H98"/>
    </sheetView>
  </sheetViews>
  <sheetFormatPr defaultColWidth="0" defaultRowHeight="12.75" zeroHeight="1" x14ac:dyDescent="0.2"/>
  <cols>
    <col min="1" max="1" width="17" customWidth="1"/>
    <col min="2" max="2" width="9.5703125" customWidth="1"/>
    <col min="3" max="44" width="12.7109375" customWidth="1"/>
    <col min="45" max="45" width="9.140625" customWidth="1"/>
  </cols>
  <sheetData>
    <row r="1" spans="1:44" x14ac:dyDescent="0.2"/>
    <row r="2" spans="1:44" ht="21.75" customHeight="1" x14ac:dyDescent="0.2">
      <c r="A2" s="148"/>
      <c r="B2" s="38"/>
      <c r="C2" s="1312" t="str">
        <f>Parametri_DestUsoPersonalizzazione1</f>
        <v>Residenziale</v>
      </c>
      <c r="D2" s="1313"/>
      <c r="E2" s="1314"/>
      <c r="F2" s="1318" t="s">
        <v>133</v>
      </c>
      <c r="G2" s="1319"/>
      <c r="H2" s="1320"/>
      <c r="I2" s="1312" t="str">
        <f>Parametri_DestUsoPersonalizzazione2</f>
        <v>Commerciale direzionale</v>
      </c>
      <c r="J2" s="1313"/>
      <c r="K2" s="1314"/>
      <c r="L2" s="1312" t="str">
        <f>Parametri_DestUsoPersonalizzazione3</f>
        <v>Industriale artigianale</v>
      </c>
      <c r="M2" s="1313"/>
      <c r="N2" s="1314"/>
      <c r="O2" s="1312" t="str">
        <f>Parametri_DestUsoPersonalizzazione4</f>
        <v xml:space="preserve">Industriale alberghiera </v>
      </c>
      <c r="P2" s="1313"/>
      <c r="Q2" s="1314"/>
      <c r="R2" s="1309" t="str">
        <f>Parametri_DestUsoPersonalizzazione5</f>
        <v>Parcheggi, silos (posto auto)</v>
      </c>
      <c r="S2" s="1310"/>
      <c r="T2" s="1311"/>
      <c r="U2" s="1309" t="str">
        <f>Parametri_DestUsoPersonalizzazione6</f>
        <v>Attrezzature culturali e sanitarie</v>
      </c>
      <c r="V2" s="1310"/>
      <c r="W2" s="1311"/>
      <c r="X2" s="1309" t="str">
        <f>Parametri_DestUsoPersonalizzazione7</f>
        <v>Attrezzature sportive</v>
      </c>
      <c r="Y2" s="1310"/>
      <c r="Z2" s="1311"/>
      <c r="AA2" s="1309" t="str">
        <f>Parametri_DestUsoPersonalizzazione8</f>
        <v>Attrezzature spettacolo</v>
      </c>
      <c r="AB2" s="1310"/>
      <c r="AC2" s="1311"/>
      <c r="AD2" s="1309" t="str">
        <f>Parametri_DestUsoPersonalizzazione9</f>
        <v>Destinazione ulteriore 1</v>
      </c>
      <c r="AE2" s="1310"/>
      <c r="AF2" s="1311"/>
      <c r="AG2" s="1312" t="str">
        <f>Parametri_DestUsoPersonalizzazione10</f>
        <v>Destinazione ulteriore 2</v>
      </c>
      <c r="AH2" s="1313"/>
      <c r="AI2" s="1314"/>
      <c r="AJ2" s="1309" t="str">
        <f>Parametri_DestUsoPersonalizzazione11</f>
        <v>Destinazione ulteriore 3</v>
      </c>
      <c r="AK2" s="1310"/>
      <c r="AL2" s="1311"/>
      <c r="AM2" s="1309" t="str">
        <f>Parametri_DestUsoPersonalizzazione12</f>
        <v>Destinazione ulteriore 4</v>
      </c>
      <c r="AN2" s="1310"/>
      <c r="AO2" s="1311"/>
      <c r="AP2" s="1309" t="str">
        <f>Parametri_DestUsoPersonalizzazione13</f>
        <v>Destinazione ulteriore 5</v>
      </c>
      <c r="AQ2" s="1310"/>
      <c r="AR2" s="1311"/>
    </row>
    <row r="3" spans="1:44" ht="45" x14ac:dyDescent="0.2">
      <c r="A3" s="40"/>
      <c r="B3" s="149" t="s">
        <v>151</v>
      </c>
      <c r="C3" s="150" t="s">
        <v>4</v>
      </c>
      <c r="D3" s="152" t="s">
        <v>397</v>
      </c>
      <c r="E3" s="151" t="s">
        <v>398</v>
      </c>
      <c r="F3" s="150" t="s">
        <v>4</v>
      </c>
      <c r="G3" s="152" t="s">
        <v>397</v>
      </c>
      <c r="H3" s="151" t="s">
        <v>0</v>
      </c>
      <c r="I3" s="150" t="s">
        <v>4</v>
      </c>
      <c r="J3" s="152" t="s">
        <v>397</v>
      </c>
      <c r="K3" s="151" t="s">
        <v>398</v>
      </c>
      <c r="L3" s="150" t="s">
        <v>4</v>
      </c>
      <c r="M3" s="152" t="s">
        <v>397</v>
      </c>
      <c r="N3" s="151" t="s">
        <v>398</v>
      </c>
      <c r="O3" s="150" t="s">
        <v>4</v>
      </c>
      <c r="P3" s="152" t="s">
        <v>397</v>
      </c>
      <c r="Q3" s="151" t="s">
        <v>398</v>
      </c>
      <c r="R3" s="150" t="s">
        <v>4</v>
      </c>
      <c r="S3" s="152" t="s">
        <v>397</v>
      </c>
      <c r="T3" s="151" t="s">
        <v>398</v>
      </c>
      <c r="U3" s="150" t="s">
        <v>4</v>
      </c>
      <c r="V3" s="152" t="s">
        <v>397</v>
      </c>
      <c r="W3" s="151" t="s">
        <v>398</v>
      </c>
      <c r="X3" s="150" t="s">
        <v>4</v>
      </c>
      <c r="Y3" s="152" t="s">
        <v>397</v>
      </c>
      <c r="Z3" s="151" t="s">
        <v>398</v>
      </c>
      <c r="AA3" s="150" t="s">
        <v>4</v>
      </c>
      <c r="AB3" s="152" t="s">
        <v>397</v>
      </c>
      <c r="AC3" s="151" t="s">
        <v>398</v>
      </c>
      <c r="AD3" s="150" t="s">
        <v>4</v>
      </c>
      <c r="AE3" s="152" t="s">
        <v>397</v>
      </c>
      <c r="AF3" s="151" t="s">
        <v>398</v>
      </c>
      <c r="AG3" s="150" t="s">
        <v>4</v>
      </c>
      <c r="AH3" s="152" t="s">
        <v>397</v>
      </c>
      <c r="AI3" s="151" t="s">
        <v>398</v>
      </c>
      <c r="AJ3" s="150" t="s">
        <v>4</v>
      </c>
      <c r="AK3" s="152" t="s">
        <v>397</v>
      </c>
      <c r="AL3" s="151" t="s">
        <v>398</v>
      </c>
      <c r="AM3" s="150" t="s">
        <v>4</v>
      </c>
      <c r="AN3" s="152" t="s">
        <v>397</v>
      </c>
      <c r="AO3" s="151" t="s">
        <v>398</v>
      </c>
      <c r="AP3" s="150" t="s">
        <v>4</v>
      </c>
      <c r="AQ3" s="152" t="s">
        <v>397</v>
      </c>
      <c r="AR3" s="151" t="s">
        <v>398</v>
      </c>
    </row>
    <row r="4" spans="1:44" x14ac:dyDescent="0.2">
      <c r="A4" s="147" t="s">
        <v>217</v>
      </c>
      <c r="B4" s="1315" t="str">
        <f>IF(Zona1&lt;&gt;"",Zona1,"")</f>
        <v>A</v>
      </c>
      <c r="C4" s="447">
        <v>4</v>
      </c>
      <c r="D4" s="472">
        <v>1.6</v>
      </c>
      <c r="E4" s="448">
        <v>2</v>
      </c>
      <c r="F4" s="447"/>
      <c r="G4" s="472"/>
      <c r="H4" s="448"/>
      <c r="I4" s="447">
        <v>54</v>
      </c>
      <c r="J4" s="472">
        <v>21.6</v>
      </c>
      <c r="K4" s="507">
        <v>27</v>
      </c>
      <c r="L4" s="447">
        <v>15</v>
      </c>
      <c r="M4" s="472">
        <v>6</v>
      </c>
      <c r="N4" s="507">
        <v>7.5</v>
      </c>
      <c r="O4" s="447">
        <v>16</v>
      </c>
      <c r="P4" s="472">
        <v>6.4</v>
      </c>
      <c r="Q4" s="507">
        <v>8</v>
      </c>
      <c r="R4" s="447">
        <v>164</v>
      </c>
      <c r="S4" s="472">
        <v>82</v>
      </c>
      <c r="T4" s="507">
        <v>123</v>
      </c>
      <c r="U4" s="447">
        <v>8</v>
      </c>
      <c r="V4" s="472">
        <v>4</v>
      </c>
      <c r="W4" s="507">
        <v>6</v>
      </c>
      <c r="X4" s="447">
        <v>4</v>
      </c>
      <c r="Y4" s="472">
        <v>2</v>
      </c>
      <c r="Z4" s="507">
        <v>3</v>
      </c>
      <c r="AA4" s="447">
        <v>13</v>
      </c>
      <c r="AB4" s="472">
        <v>6.5</v>
      </c>
      <c r="AC4" s="507">
        <v>9.75</v>
      </c>
      <c r="AD4" s="447"/>
      <c r="AE4" s="472"/>
      <c r="AF4" s="507"/>
      <c r="AG4" s="447"/>
      <c r="AH4" s="472"/>
      <c r="AI4" s="507"/>
      <c r="AJ4" s="447"/>
      <c r="AK4" s="472"/>
      <c r="AL4" s="507"/>
      <c r="AM4" s="447"/>
      <c r="AN4" s="472"/>
      <c r="AO4" s="507"/>
      <c r="AP4" s="447"/>
      <c r="AQ4" s="472"/>
      <c r="AR4" s="507"/>
    </row>
    <row r="5" spans="1:44" x14ac:dyDescent="0.2">
      <c r="A5" s="147" t="s">
        <v>218</v>
      </c>
      <c r="B5" s="1316"/>
      <c r="C5" s="449">
        <v>8</v>
      </c>
      <c r="D5" s="473">
        <v>3.2</v>
      </c>
      <c r="E5" s="450">
        <v>4</v>
      </c>
      <c r="F5" s="449"/>
      <c r="G5" s="473"/>
      <c r="H5" s="450"/>
      <c r="I5" s="449">
        <v>39</v>
      </c>
      <c r="J5" s="473">
        <v>15.6</v>
      </c>
      <c r="K5" s="450">
        <v>19.5</v>
      </c>
      <c r="L5" s="449">
        <v>14</v>
      </c>
      <c r="M5" s="473">
        <v>5.6</v>
      </c>
      <c r="N5" s="450">
        <v>7</v>
      </c>
      <c r="O5" s="449">
        <v>16</v>
      </c>
      <c r="P5" s="473">
        <v>6.4</v>
      </c>
      <c r="Q5" s="450">
        <v>8</v>
      </c>
      <c r="R5" s="449">
        <v>72</v>
      </c>
      <c r="S5" s="473">
        <v>36</v>
      </c>
      <c r="T5" s="450">
        <v>54</v>
      </c>
      <c r="U5" s="449">
        <v>5</v>
      </c>
      <c r="V5" s="473">
        <v>2.5</v>
      </c>
      <c r="W5" s="450">
        <v>3.75</v>
      </c>
      <c r="X5" s="449">
        <v>2</v>
      </c>
      <c r="Y5" s="473">
        <v>1</v>
      </c>
      <c r="Z5" s="450">
        <v>1.5</v>
      </c>
      <c r="AA5" s="449">
        <v>6</v>
      </c>
      <c r="AB5" s="473">
        <v>3</v>
      </c>
      <c r="AC5" s="450">
        <v>4.5</v>
      </c>
      <c r="AD5" s="449"/>
      <c r="AE5" s="473"/>
      <c r="AF5" s="450"/>
      <c r="AG5" s="449"/>
      <c r="AH5" s="473"/>
      <c r="AI5" s="450"/>
      <c r="AJ5" s="449"/>
      <c r="AK5" s="473"/>
      <c r="AL5" s="450"/>
      <c r="AM5" s="449"/>
      <c r="AN5" s="473"/>
      <c r="AO5" s="450"/>
      <c r="AP5" s="449"/>
      <c r="AQ5" s="473"/>
      <c r="AR5" s="450"/>
    </row>
    <row r="6" spans="1:44" x14ac:dyDescent="0.2">
      <c r="A6" s="147" t="s">
        <v>82</v>
      </c>
      <c r="B6" s="1317"/>
      <c r="C6" s="449"/>
      <c r="D6" s="473"/>
      <c r="E6" s="450"/>
      <c r="F6" s="449"/>
      <c r="G6" s="473"/>
      <c r="H6" s="450"/>
      <c r="I6" s="449"/>
      <c r="J6" s="473"/>
      <c r="K6" s="450"/>
      <c r="L6" s="449">
        <v>3</v>
      </c>
      <c r="M6" s="473">
        <v>1.2</v>
      </c>
      <c r="N6" s="450">
        <v>1.5</v>
      </c>
      <c r="O6" s="449"/>
      <c r="P6" s="473"/>
      <c r="Q6" s="450"/>
      <c r="R6" s="449"/>
      <c r="S6" s="473"/>
      <c r="T6" s="450"/>
      <c r="U6" s="449"/>
      <c r="V6" s="473"/>
      <c r="W6" s="450"/>
      <c r="X6" s="449"/>
      <c r="Y6" s="473"/>
      <c r="Z6" s="450"/>
      <c r="AA6" s="449"/>
      <c r="AB6" s="473"/>
      <c r="AC6" s="450"/>
      <c r="AD6" s="449"/>
      <c r="AE6" s="473"/>
      <c r="AF6" s="450"/>
      <c r="AG6" s="449"/>
      <c r="AH6" s="473"/>
      <c r="AI6" s="450"/>
      <c r="AJ6" s="449"/>
      <c r="AK6" s="473"/>
      <c r="AL6" s="450"/>
      <c r="AM6" s="449"/>
      <c r="AN6" s="473"/>
      <c r="AO6" s="450"/>
      <c r="AP6" s="449"/>
      <c r="AQ6" s="473"/>
      <c r="AR6" s="450"/>
    </row>
    <row r="7" spans="1:44" x14ac:dyDescent="0.2">
      <c r="A7" s="147" t="s">
        <v>217</v>
      </c>
      <c r="B7" s="1315" t="str">
        <f>IF(Zona2&lt;&gt;"",Zona2,"")</f>
        <v>B</v>
      </c>
      <c r="C7" s="447">
        <v>7</v>
      </c>
      <c r="D7" s="472">
        <v>2.8</v>
      </c>
      <c r="E7" s="507">
        <v>3.5</v>
      </c>
      <c r="F7" s="447"/>
      <c r="G7" s="472"/>
      <c r="H7" s="507"/>
      <c r="I7" s="447">
        <v>54</v>
      </c>
      <c r="J7" s="472">
        <v>21.6</v>
      </c>
      <c r="K7" s="507">
        <v>27</v>
      </c>
      <c r="L7" s="447">
        <v>15</v>
      </c>
      <c r="M7" s="472">
        <v>6</v>
      </c>
      <c r="N7" s="507">
        <v>7.5</v>
      </c>
      <c r="O7" s="447">
        <v>16</v>
      </c>
      <c r="P7" s="472">
        <v>6.4</v>
      </c>
      <c r="Q7" s="507">
        <v>8</v>
      </c>
      <c r="R7" s="447">
        <v>164</v>
      </c>
      <c r="S7" s="472">
        <v>82</v>
      </c>
      <c r="T7" s="507">
        <v>123</v>
      </c>
      <c r="U7" s="447">
        <v>8</v>
      </c>
      <c r="V7" s="472">
        <v>4</v>
      </c>
      <c r="W7" s="507">
        <v>6</v>
      </c>
      <c r="X7" s="447">
        <v>4</v>
      </c>
      <c r="Y7" s="472">
        <v>2</v>
      </c>
      <c r="Z7" s="507">
        <v>3</v>
      </c>
      <c r="AA7" s="447">
        <v>13</v>
      </c>
      <c r="AB7" s="472">
        <v>6.5</v>
      </c>
      <c r="AC7" s="507">
        <v>9.75</v>
      </c>
      <c r="AD7" s="447"/>
      <c r="AE7" s="472"/>
      <c r="AF7" s="507"/>
      <c r="AG7" s="447"/>
      <c r="AH7" s="472"/>
      <c r="AI7" s="507"/>
      <c r="AJ7" s="447"/>
      <c r="AK7" s="472"/>
      <c r="AL7" s="507"/>
      <c r="AM7" s="447"/>
      <c r="AN7" s="472"/>
      <c r="AO7" s="507"/>
      <c r="AP7" s="447"/>
      <c r="AQ7" s="472"/>
      <c r="AR7" s="507"/>
    </row>
    <row r="8" spans="1:44" x14ac:dyDescent="0.2">
      <c r="A8" s="147" t="s">
        <v>218</v>
      </c>
      <c r="B8" s="1316"/>
      <c r="C8" s="449">
        <v>15</v>
      </c>
      <c r="D8" s="473">
        <v>6</v>
      </c>
      <c r="E8" s="450">
        <v>7.5</v>
      </c>
      <c r="F8" s="449"/>
      <c r="G8" s="473"/>
      <c r="H8" s="450"/>
      <c r="I8" s="449">
        <v>39</v>
      </c>
      <c r="J8" s="473">
        <v>15.6</v>
      </c>
      <c r="K8" s="450">
        <v>19.5</v>
      </c>
      <c r="L8" s="449">
        <v>14</v>
      </c>
      <c r="M8" s="473">
        <v>5.6</v>
      </c>
      <c r="N8" s="450">
        <v>7</v>
      </c>
      <c r="O8" s="449">
        <v>16</v>
      </c>
      <c r="P8" s="473">
        <v>6.4</v>
      </c>
      <c r="Q8" s="450">
        <v>8</v>
      </c>
      <c r="R8" s="449">
        <v>72</v>
      </c>
      <c r="S8" s="473">
        <v>36</v>
      </c>
      <c r="T8" s="450">
        <v>54</v>
      </c>
      <c r="U8" s="449">
        <v>5</v>
      </c>
      <c r="V8" s="473">
        <v>2.5</v>
      </c>
      <c r="W8" s="450">
        <v>3.75</v>
      </c>
      <c r="X8" s="449">
        <v>2</v>
      </c>
      <c r="Y8" s="473">
        <v>1</v>
      </c>
      <c r="Z8" s="450">
        <v>1.5</v>
      </c>
      <c r="AA8" s="449">
        <v>6</v>
      </c>
      <c r="AB8" s="473">
        <v>3</v>
      </c>
      <c r="AC8" s="450">
        <v>4.5</v>
      </c>
      <c r="AD8" s="449"/>
      <c r="AE8" s="473"/>
      <c r="AF8" s="450"/>
      <c r="AG8" s="449"/>
      <c r="AH8" s="473"/>
      <c r="AI8" s="450"/>
      <c r="AJ8" s="449"/>
      <c r="AK8" s="473"/>
      <c r="AL8" s="450"/>
      <c r="AM8" s="449"/>
      <c r="AN8" s="473"/>
      <c r="AO8" s="450"/>
      <c r="AP8" s="449"/>
      <c r="AQ8" s="473"/>
      <c r="AR8" s="450"/>
    </row>
    <row r="9" spans="1:44" x14ac:dyDescent="0.2">
      <c r="A9" s="147" t="s">
        <v>82</v>
      </c>
      <c r="B9" s="1317"/>
      <c r="C9" s="449"/>
      <c r="D9" s="473"/>
      <c r="E9" s="450"/>
      <c r="F9" s="449"/>
      <c r="G9" s="473"/>
      <c r="H9" s="450"/>
      <c r="I9" s="449"/>
      <c r="J9" s="473"/>
      <c r="K9" s="450"/>
      <c r="L9" s="449">
        <v>3</v>
      </c>
      <c r="M9" s="473">
        <v>1.2</v>
      </c>
      <c r="N9" s="450">
        <v>1.5</v>
      </c>
      <c r="O9" s="449"/>
      <c r="P9" s="473"/>
      <c r="Q9" s="450"/>
      <c r="R9" s="449"/>
      <c r="S9" s="473"/>
      <c r="T9" s="450"/>
      <c r="U9" s="449"/>
      <c r="V9" s="473"/>
      <c r="W9" s="450"/>
      <c r="X9" s="449"/>
      <c r="Y9" s="473"/>
      <c r="Z9" s="450"/>
      <c r="AA9" s="449"/>
      <c r="AB9" s="473"/>
      <c r="AC9" s="450"/>
      <c r="AD9" s="449"/>
      <c r="AE9" s="473"/>
      <c r="AF9" s="450"/>
      <c r="AG9" s="449"/>
      <c r="AH9" s="473"/>
      <c r="AI9" s="450"/>
      <c r="AJ9" s="449"/>
      <c r="AK9" s="473"/>
      <c r="AL9" s="450"/>
      <c r="AM9" s="449"/>
      <c r="AN9" s="473"/>
      <c r="AO9" s="450"/>
      <c r="AP9" s="449"/>
      <c r="AQ9" s="473"/>
      <c r="AR9" s="450"/>
    </row>
    <row r="10" spans="1:44" x14ac:dyDescent="0.2">
      <c r="A10" s="147" t="s">
        <v>217</v>
      </c>
      <c r="B10" s="1315" t="str">
        <f>IF(Zona3&lt;&gt;"",Zona3,"")</f>
        <v>C</v>
      </c>
      <c r="C10" s="447">
        <v>8</v>
      </c>
      <c r="D10" s="472">
        <v>3.2</v>
      </c>
      <c r="E10" s="507">
        <v>4</v>
      </c>
      <c r="F10" s="447"/>
      <c r="G10" s="472"/>
      <c r="H10" s="507"/>
      <c r="I10" s="447">
        <v>54</v>
      </c>
      <c r="J10" s="472">
        <v>21.6</v>
      </c>
      <c r="K10" s="507">
        <v>27</v>
      </c>
      <c r="L10" s="447">
        <v>15</v>
      </c>
      <c r="M10" s="472">
        <v>6</v>
      </c>
      <c r="N10" s="507">
        <v>7.5</v>
      </c>
      <c r="O10" s="447">
        <v>16</v>
      </c>
      <c r="P10" s="472">
        <v>6.4</v>
      </c>
      <c r="Q10" s="507">
        <v>8</v>
      </c>
      <c r="R10" s="447">
        <v>164</v>
      </c>
      <c r="S10" s="472">
        <v>82</v>
      </c>
      <c r="T10" s="507">
        <v>123</v>
      </c>
      <c r="U10" s="447">
        <v>8</v>
      </c>
      <c r="V10" s="472">
        <v>4</v>
      </c>
      <c r="W10" s="507">
        <v>6</v>
      </c>
      <c r="X10" s="447">
        <v>4</v>
      </c>
      <c r="Y10" s="472">
        <v>2</v>
      </c>
      <c r="Z10" s="507">
        <v>3</v>
      </c>
      <c r="AA10" s="447">
        <v>13</v>
      </c>
      <c r="AB10" s="472">
        <v>6.5</v>
      </c>
      <c r="AC10" s="507">
        <v>9.75</v>
      </c>
      <c r="AD10" s="447"/>
      <c r="AE10" s="472"/>
      <c r="AF10" s="507"/>
      <c r="AG10" s="447"/>
      <c r="AH10" s="472"/>
      <c r="AI10" s="507"/>
      <c r="AJ10" s="447"/>
      <c r="AK10" s="472"/>
      <c r="AL10" s="507"/>
      <c r="AM10" s="447"/>
      <c r="AN10" s="472"/>
      <c r="AO10" s="507"/>
      <c r="AP10" s="447"/>
      <c r="AQ10" s="472"/>
      <c r="AR10" s="507"/>
    </row>
    <row r="11" spans="1:44" x14ac:dyDescent="0.2">
      <c r="A11" s="147" t="s">
        <v>218</v>
      </c>
      <c r="B11" s="1316"/>
      <c r="C11" s="449">
        <v>15</v>
      </c>
      <c r="D11" s="473">
        <v>6</v>
      </c>
      <c r="E11" s="450">
        <v>7.5</v>
      </c>
      <c r="F11" s="449"/>
      <c r="G11" s="473"/>
      <c r="H11" s="450"/>
      <c r="I11" s="449">
        <v>39</v>
      </c>
      <c r="J11" s="473">
        <v>15.6</v>
      </c>
      <c r="K11" s="450">
        <v>19.5</v>
      </c>
      <c r="L11" s="449">
        <v>14</v>
      </c>
      <c r="M11" s="473">
        <v>5.6</v>
      </c>
      <c r="N11" s="450">
        <v>7</v>
      </c>
      <c r="O11" s="449">
        <v>16</v>
      </c>
      <c r="P11" s="473">
        <v>6.4</v>
      </c>
      <c r="Q11" s="450">
        <v>8</v>
      </c>
      <c r="R11" s="449">
        <v>72</v>
      </c>
      <c r="S11" s="473">
        <v>36</v>
      </c>
      <c r="T11" s="450">
        <v>54</v>
      </c>
      <c r="U11" s="449">
        <v>5</v>
      </c>
      <c r="V11" s="473">
        <v>2.5</v>
      </c>
      <c r="W11" s="450">
        <v>3.75</v>
      </c>
      <c r="X11" s="449">
        <v>2</v>
      </c>
      <c r="Y11" s="473">
        <v>1</v>
      </c>
      <c r="Z11" s="450">
        <v>1.5</v>
      </c>
      <c r="AA11" s="449">
        <v>6</v>
      </c>
      <c r="AB11" s="473">
        <v>3</v>
      </c>
      <c r="AC11" s="450">
        <v>4.5</v>
      </c>
      <c r="AD11" s="449"/>
      <c r="AE11" s="473"/>
      <c r="AF11" s="450"/>
      <c r="AG11" s="449"/>
      <c r="AH11" s="473"/>
      <c r="AI11" s="450"/>
      <c r="AJ11" s="449"/>
      <c r="AK11" s="473"/>
      <c r="AL11" s="450"/>
      <c r="AM11" s="449"/>
      <c r="AN11" s="473"/>
      <c r="AO11" s="450"/>
      <c r="AP11" s="449"/>
      <c r="AQ11" s="473"/>
      <c r="AR11" s="450"/>
    </row>
    <row r="12" spans="1:44" x14ac:dyDescent="0.2">
      <c r="A12" s="147" t="s">
        <v>82</v>
      </c>
      <c r="B12" s="1317"/>
      <c r="C12" s="451"/>
      <c r="D12" s="474"/>
      <c r="E12" s="452"/>
      <c r="F12" s="451"/>
      <c r="G12" s="474"/>
      <c r="H12" s="452"/>
      <c r="I12" s="451"/>
      <c r="J12" s="474"/>
      <c r="K12" s="452"/>
      <c r="L12" s="449">
        <v>3</v>
      </c>
      <c r="M12" s="473">
        <v>1.2</v>
      </c>
      <c r="N12" s="450">
        <v>1.5</v>
      </c>
      <c r="O12" s="451"/>
      <c r="P12" s="474"/>
      <c r="Q12" s="452"/>
      <c r="R12" s="451"/>
      <c r="S12" s="474"/>
      <c r="T12" s="452"/>
      <c r="U12" s="451"/>
      <c r="V12" s="474"/>
      <c r="W12" s="452"/>
      <c r="X12" s="451"/>
      <c r="Y12" s="474"/>
      <c r="Z12" s="452"/>
      <c r="AA12" s="451"/>
      <c r="AB12" s="474"/>
      <c r="AC12" s="452"/>
      <c r="AD12" s="451"/>
      <c r="AE12" s="474"/>
      <c r="AF12" s="452"/>
      <c r="AG12" s="451"/>
      <c r="AH12" s="474"/>
      <c r="AI12" s="452"/>
      <c r="AJ12" s="451"/>
      <c r="AK12" s="474"/>
      <c r="AL12" s="452"/>
      <c r="AM12" s="451"/>
      <c r="AN12" s="474"/>
      <c r="AO12" s="452"/>
      <c r="AP12" s="451"/>
      <c r="AQ12" s="474"/>
      <c r="AR12" s="452"/>
    </row>
    <row r="13" spans="1:44" x14ac:dyDescent="0.2">
      <c r="A13" s="147" t="s">
        <v>217</v>
      </c>
      <c r="B13" s="1315" t="str">
        <f>IF(Zona4&lt;&gt;"",Zona4,"")</f>
        <v>D</v>
      </c>
      <c r="C13" s="447"/>
      <c r="D13" s="472"/>
      <c r="E13" s="507"/>
      <c r="F13" s="447"/>
      <c r="G13" s="472"/>
      <c r="H13" s="507"/>
      <c r="I13" s="447">
        <v>54</v>
      </c>
      <c r="J13" s="472">
        <v>21.6</v>
      </c>
      <c r="K13" s="507">
        <v>27</v>
      </c>
      <c r="L13" s="447">
        <v>15</v>
      </c>
      <c r="M13" s="472">
        <v>6</v>
      </c>
      <c r="N13" s="507">
        <v>7.5</v>
      </c>
      <c r="O13" s="447">
        <v>16</v>
      </c>
      <c r="P13" s="472">
        <v>6.4</v>
      </c>
      <c r="Q13" s="507">
        <v>8</v>
      </c>
      <c r="R13" s="447">
        <v>164</v>
      </c>
      <c r="S13" s="472">
        <v>82</v>
      </c>
      <c r="T13" s="507">
        <v>123</v>
      </c>
      <c r="U13" s="447">
        <v>8</v>
      </c>
      <c r="V13" s="472">
        <v>4</v>
      </c>
      <c r="W13" s="507">
        <v>6</v>
      </c>
      <c r="X13" s="447">
        <v>4</v>
      </c>
      <c r="Y13" s="472">
        <v>2</v>
      </c>
      <c r="Z13" s="507">
        <v>3</v>
      </c>
      <c r="AA13" s="447">
        <v>13</v>
      </c>
      <c r="AB13" s="472">
        <v>6.5</v>
      </c>
      <c r="AC13" s="507">
        <v>9.75</v>
      </c>
      <c r="AD13" s="447"/>
      <c r="AE13" s="472"/>
      <c r="AF13" s="507"/>
      <c r="AG13" s="447"/>
      <c r="AH13" s="472"/>
      <c r="AI13" s="507"/>
      <c r="AJ13" s="447"/>
      <c r="AK13" s="472"/>
      <c r="AL13" s="507"/>
      <c r="AM13" s="447"/>
      <c r="AN13" s="472"/>
      <c r="AO13" s="507"/>
      <c r="AP13" s="447"/>
      <c r="AQ13" s="472"/>
      <c r="AR13" s="507"/>
    </row>
    <row r="14" spans="1:44" x14ac:dyDescent="0.2">
      <c r="A14" s="147" t="s">
        <v>218</v>
      </c>
      <c r="B14" s="1316"/>
      <c r="C14" s="449"/>
      <c r="D14" s="473"/>
      <c r="E14" s="450"/>
      <c r="F14" s="449"/>
      <c r="G14" s="473"/>
      <c r="H14" s="450"/>
      <c r="I14" s="449">
        <v>39</v>
      </c>
      <c r="J14" s="473">
        <v>15.6</v>
      </c>
      <c r="K14" s="450">
        <v>19.5</v>
      </c>
      <c r="L14" s="449">
        <v>14</v>
      </c>
      <c r="M14" s="473">
        <v>5.6</v>
      </c>
      <c r="N14" s="450">
        <v>7</v>
      </c>
      <c r="O14" s="449">
        <v>16</v>
      </c>
      <c r="P14" s="473">
        <v>6.4</v>
      </c>
      <c r="Q14" s="450">
        <v>8</v>
      </c>
      <c r="R14" s="449">
        <v>72</v>
      </c>
      <c r="S14" s="473">
        <v>36</v>
      </c>
      <c r="T14" s="450">
        <v>54</v>
      </c>
      <c r="U14" s="449">
        <v>5</v>
      </c>
      <c r="V14" s="473">
        <v>2.5</v>
      </c>
      <c r="W14" s="450">
        <v>3.75</v>
      </c>
      <c r="X14" s="449">
        <v>2</v>
      </c>
      <c r="Y14" s="473">
        <v>1</v>
      </c>
      <c r="Z14" s="450">
        <v>1.5</v>
      </c>
      <c r="AA14" s="449">
        <v>6</v>
      </c>
      <c r="AB14" s="473">
        <v>3</v>
      </c>
      <c r="AC14" s="450">
        <v>4.5</v>
      </c>
      <c r="AD14" s="449"/>
      <c r="AE14" s="473"/>
      <c r="AF14" s="450"/>
      <c r="AG14" s="449"/>
      <c r="AH14" s="473"/>
      <c r="AI14" s="450"/>
      <c r="AJ14" s="449"/>
      <c r="AK14" s="473"/>
      <c r="AL14" s="450"/>
      <c r="AM14" s="449"/>
      <c r="AN14" s="473"/>
      <c r="AO14" s="450"/>
      <c r="AP14" s="449"/>
      <c r="AQ14" s="473"/>
      <c r="AR14" s="450"/>
    </row>
    <row r="15" spans="1:44" x14ac:dyDescent="0.2">
      <c r="A15" s="147" t="s">
        <v>82</v>
      </c>
      <c r="B15" s="1317"/>
      <c r="C15" s="449"/>
      <c r="D15" s="473"/>
      <c r="E15" s="450"/>
      <c r="F15" s="449"/>
      <c r="G15" s="473"/>
      <c r="H15" s="450"/>
      <c r="I15" s="449"/>
      <c r="J15" s="473"/>
      <c r="K15" s="450"/>
      <c r="L15" s="449">
        <v>3</v>
      </c>
      <c r="M15" s="473">
        <v>1.2</v>
      </c>
      <c r="N15" s="450">
        <v>1.5</v>
      </c>
      <c r="O15" s="449"/>
      <c r="P15" s="473"/>
      <c r="Q15" s="450"/>
      <c r="R15" s="449"/>
      <c r="S15" s="473"/>
      <c r="T15" s="450"/>
      <c r="U15" s="449"/>
      <c r="V15" s="473"/>
      <c r="W15" s="450"/>
      <c r="X15" s="449"/>
      <c r="Y15" s="473"/>
      <c r="Z15" s="450"/>
      <c r="AA15" s="449"/>
      <c r="AB15" s="473"/>
      <c r="AC15" s="450"/>
      <c r="AD15" s="449"/>
      <c r="AE15" s="473"/>
      <c r="AF15" s="450"/>
      <c r="AG15" s="449"/>
      <c r="AH15" s="473"/>
      <c r="AI15" s="450"/>
      <c r="AJ15" s="449"/>
      <c r="AK15" s="473"/>
      <c r="AL15" s="450"/>
      <c r="AM15" s="449"/>
      <c r="AN15" s="473"/>
      <c r="AO15" s="450"/>
      <c r="AP15" s="449"/>
      <c r="AQ15" s="473"/>
      <c r="AR15" s="450"/>
    </row>
    <row r="16" spans="1:44" x14ac:dyDescent="0.2">
      <c r="A16" s="147" t="s">
        <v>217</v>
      </c>
      <c r="B16" s="1315" t="str">
        <f>IF(Zona5&lt;&gt;"",Zona5,"")</f>
        <v>E</v>
      </c>
      <c r="C16" s="447">
        <v>8</v>
      </c>
      <c r="D16" s="472">
        <v>3.2</v>
      </c>
      <c r="E16" s="507">
        <v>4</v>
      </c>
      <c r="F16" s="447"/>
      <c r="G16" s="472"/>
      <c r="H16" s="507"/>
      <c r="I16" s="447">
        <v>54</v>
      </c>
      <c r="J16" s="472">
        <v>21.6</v>
      </c>
      <c r="K16" s="507">
        <v>27</v>
      </c>
      <c r="L16" s="447">
        <v>15</v>
      </c>
      <c r="M16" s="472">
        <v>6</v>
      </c>
      <c r="N16" s="507">
        <v>7.5</v>
      </c>
      <c r="O16" s="447">
        <v>16</v>
      </c>
      <c r="P16" s="472">
        <v>6.4</v>
      </c>
      <c r="Q16" s="507">
        <v>8</v>
      </c>
      <c r="R16" s="447">
        <v>164</v>
      </c>
      <c r="S16" s="472">
        <v>82</v>
      </c>
      <c r="T16" s="507">
        <v>123</v>
      </c>
      <c r="U16" s="447">
        <v>8</v>
      </c>
      <c r="V16" s="472">
        <v>4</v>
      </c>
      <c r="W16" s="507">
        <v>6</v>
      </c>
      <c r="X16" s="447">
        <v>4</v>
      </c>
      <c r="Y16" s="472">
        <v>2</v>
      </c>
      <c r="Z16" s="507">
        <v>3</v>
      </c>
      <c r="AA16" s="447">
        <v>13</v>
      </c>
      <c r="AB16" s="472">
        <v>6.5</v>
      </c>
      <c r="AC16" s="507">
        <v>9.75</v>
      </c>
      <c r="AD16" s="447"/>
      <c r="AE16" s="472"/>
      <c r="AF16" s="507"/>
      <c r="AG16" s="447"/>
      <c r="AH16" s="472"/>
      <c r="AI16" s="507"/>
      <c r="AJ16" s="447"/>
      <c r="AK16" s="472"/>
      <c r="AL16" s="507"/>
      <c r="AM16" s="447"/>
      <c r="AN16" s="472"/>
      <c r="AO16" s="507"/>
      <c r="AP16" s="447"/>
      <c r="AQ16" s="472"/>
      <c r="AR16" s="507"/>
    </row>
    <row r="17" spans="1:44" x14ac:dyDescent="0.2">
      <c r="A17" s="147" t="s">
        <v>218</v>
      </c>
      <c r="B17" s="1316"/>
      <c r="C17" s="449">
        <v>15</v>
      </c>
      <c r="D17" s="473">
        <v>6</v>
      </c>
      <c r="E17" s="450">
        <v>7.5</v>
      </c>
      <c r="F17" s="449"/>
      <c r="G17" s="473"/>
      <c r="H17" s="450"/>
      <c r="I17" s="449">
        <v>39</v>
      </c>
      <c r="J17" s="473">
        <v>15.6</v>
      </c>
      <c r="K17" s="450">
        <v>19.5</v>
      </c>
      <c r="L17" s="449">
        <v>14</v>
      </c>
      <c r="M17" s="473">
        <v>5.6</v>
      </c>
      <c r="N17" s="450">
        <v>7</v>
      </c>
      <c r="O17" s="449">
        <v>16</v>
      </c>
      <c r="P17" s="473">
        <v>6.4</v>
      </c>
      <c r="Q17" s="450">
        <v>8</v>
      </c>
      <c r="R17" s="449">
        <v>72</v>
      </c>
      <c r="S17" s="473">
        <v>36</v>
      </c>
      <c r="T17" s="450">
        <v>54</v>
      </c>
      <c r="U17" s="449">
        <v>5</v>
      </c>
      <c r="V17" s="473">
        <v>2.5</v>
      </c>
      <c r="W17" s="450">
        <v>3.75</v>
      </c>
      <c r="X17" s="449">
        <v>2</v>
      </c>
      <c r="Y17" s="473">
        <v>1</v>
      </c>
      <c r="Z17" s="450">
        <v>1.5</v>
      </c>
      <c r="AA17" s="449">
        <v>6</v>
      </c>
      <c r="AB17" s="473">
        <v>3</v>
      </c>
      <c r="AC17" s="450">
        <v>4.5</v>
      </c>
      <c r="AD17" s="449"/>
      <c r="AE17" s="473"/>
      <c r="AF17" s="450"/>
      <c r="AG17" s="449"/>
      <c r="AH17" s="473"/>
      <c r="AI17" s="450"/>
      <c r="AJ17" s="449"/>
      <c r="AK17" s="473"/>
      <c r="AL17" s="450"/>
      <c r="AM17" s="449"/>
      <c r="AN17" s="473"/>
      <c r="AO17" s="450"/>
      <c r="AP17" s="449"/>
      <c r="AQ17" s="473"/>
      <c r="AR17" s="450"/>
    </row>
    <row r="18" spans="1:44" x14ac:dyDescent="0.2">
      <c r="A18" s="147" t="s">
        <v>82</v>
      </c>
      <c r="B18" s="1317"/>
      <c r="C18" s="451"/>
      <c r="D18" s="474"/>
      <c r="E18" s="452"/>
      <c r="F18" s="451"/>
      <c r="G18" s="474"/>
      <c r="H18" s="452"/>
      <c r="I18" s="451"/>
      <c r="J18" s="474"/>
      <c r="K18" s="452"/>
      <c r="L18" s="451">
        <v>3</v>
      </c>
      <c r="M18" s="474">
        <v>1.2</v>
      </c>
      <c r="N18" s="452">
        <v>1.5</v>
      </c>
      <c r="O18" s="451"/>
      <c r="P18" s="474"/>
      <c r="Q18" s="452"/>
      <c r="R18" s="451"/>
      <c r="S18" s="474"/>
      <c r="T18" s="452"/>
      <c r="U18" s="451"/>
      <c r="V18" s="474"/>
      <c r="W18" s="452"/>
      <c r="X18" s="451"/>
      <c r="Y18" s="474"/>
      <c r="Z18" s="452"/>
      <c r="AA18" s="451"/>
      <c r="AB18" s="474"/>
      <c r="AC18" s="452"/>
      <c r="AD18" s="451"/>
      <c r="AE18" s="474"/>
      <c r="AF18" s="452"/>
      <c r="AG18" s="451"/>
      <c r="AH18" s="474"/>
      <c r="AI18" s="452"/>
      <c r="AJ18" s="451"/>
      <c r="AK18" s="474"/>
      <c r="AL18" s="452"/>
      <c r="AM18" s="451"/>
      <c r="AN18" s="474"/>
      <c r="AO18" s="452"/>
      <c r="AP18" s="451"/>
      <c r="AQ18" s="474"/>
      <c r="AR18" s="452"/>
    </row>
    <row r="19" spans="1:44" hidden="1" x14ac:dyDescent="0.2">
      <c r="A19" s="147" t="s">
        <v>217</v>
      </c>
      <c r="B19" s="1315" t="str">
        <f>IF(Zona6&lt;&gt;"",Zona6,"")</f>
        <v/>
      </c>
      <c r="C19" s="447"/>
      <c r="D19" s="472"/>
      <c r="E19" s="448"/>
      <c r="F19" s="447"/>
      <c r="G19" s="472"/>
      <c r="H19" s="448"/>
      <c r="I19" s="447"/>
      <c r="J19" s="472"/>
      <c r="K19" s="448"/>
      <c r="L19" s="447"/>
      <c r="M19" s="472"/>
      <c r="N19" s="448"/>
      <c r="O19" s="447"/>
      <c r="P19" s="472"/>
      <c r="Q19" s="448"/>
      <c r="R19" s="447"/>
      <c r="S19" s="472"/>
      <c r="T19" s="448"/>
      <c r="U19" s="447"/>
      <c r="V19" s="472"/>
      <c r="W19" s="448"/>
      <c r="X19" s="447"/>
      <c r="Y19" s="472"/>
      <c r="Z19" s="448"/>
      <c r="AA19" s="447"/>
      <c r="AB19" s="472"/>
      <c r="AC19" s="448"/>
      <c r="AD19" s="447"/>
      <c r="AE19" s="472"/>
      <c r="AF19" s="448"/>
      <c r="AG19" s="447"/>
      <c r="AH19" s="472"/>
      <c r="AI19" s="448"/>
      <c r="AJ19" s="447"/>
      <c r="AK19" s="472"/>
      <c r="AL19" s="448"/>
      <c r="AM19" s="447"/>
      <c r="AN19" s="472"/>
      <c r="AO19" s="448"/>
      <c r="AP19" s="447"/>
      <c r="AQ19" s="472"/>
      <c r="AR19" s="448"/>
    </row>
    <row r="20" spans="1:44" hidden="1" x14ac:dyDescent="0.2">
      <c r="A20" s="147" t="s">
        <v>218</v>
      </c>
      <c r="B20" s="1316"/>
      <c r="C20" s="449"/>
      <c r="D20" s="473"/>
      <c r="E20" s="450"/>
      <c r="F20" s="449"/>
      <c r="G20" s="473"/>
      <c r="H20" s="450"/>
      <c r="I20" s="449"/>
      <c r="J20" s="473"/>
      <c r="K20" s="450"/>
      <c r="L20" s="449"/>
      <c r="M20" s="473"/>
      <c r="N20" s="450"/>
      <c r="O20" s="449"/>
      <c r="P20" s="473"/>
      <c r="Q20" s="450"/>
      <c r="R20" s="449"/>
      <c r="S20" s="473"/>
      <c r="T20" s="450"/>
      <c r="U20" s="449"/>
      <c r="V20" s="473"/>
      <c r="W20" s="450"/>
      <c r="X20" s="449"/>
      <c r="Y20" s="473"/>
      <c r="Z20" s="450"/>
      <c r="AA20" s="449"/>
      <c r="AB20" s="473"/>
      <c r="AC20" s="450"/>
      <c r="AD20" s="449"/>
      <c r="AE20" s="473"/>
      <c r="AF20" s="450"/>
      <c r="AG20" s="449"/>
      <c r="AH20" s="473"/>
      <c r="AI20" s="450"/>
      <c r="AJ20" s="449"/>
      <c r="AK20" s="473"/>
      <c r="AL20" s="450"/>
      <c r="AM20" s="449"/>
      <c r="AN20" s="473"/>
      <c r="AO20" s="450"/>
      <c r="AP20" s="449"/>
      <c r="AQ20" s="473"/>
      <c r="AR20" s="450"/>
    </row>
    <row r="21" spans="1:44" ht="12" hidden="1" customHeight="1" x14ac:dyDescent="0.2">
      <c r="A21" s="147" t="s">
        <v>82</v>
      </c>
      <c r="B21" s="1317"/>
      <c r="C21" s="451"/>
      <c r="D21" s="474"/>
      <c r="E21" s="452"/>
      <c r="F21" s="451"/>
      <c r="G21" s="474"/>
      <c r="H21" s="452"/>
      <c r="I21" s="451"/>
      <c r="J21" s="474"/>
      <c r="K21" s="452"/>
      <c r="L21" s="451"/>
      <c r="M21" s="474"/>
      <c r="N21" s="452"/>
      <c r="O21" s="451"/>
      <c r="P21" s="474"/>
      <c r="Q21" s="452"/>
      <c r="R21" s="451"/>
      <c r="S21" s="474"/>
      <c r="T21" s="452"/>
      <c r="U21" s="451"/>
      <c r="V21" s="474"/>
      <c r="W21" s="452"/>
      <c r="X21" s="451"/>
      <c r="Y21" s="474"/>
      <c r="Z21" s="452"/>
      <c r="AA21" s="451"/>
      <c r="AB21" s="474"/>
      <c r="AC21" s="452"/>
      <c r="AD21" s="451"/>
      <c r="AE21" s="474"/>
      <c r="AF21" s="452"/>
      <c r="AG21" s="451"/>
      <c r="AH21" s="474"/>
      <c r="AI21" s="452"/>
      <c r="AJ21" s="451"/>
      <c r="AK21" s="474"/>
      <c r="AL21" s="452"/>
      <c r="AM21" s="451"/>
      <c r="AN21" s="474"/>
      <c r="AO21" s="452"/>
      <c r="AP21" s="451"/>
      <c r="AQ21" s="474"/>
      <c r="AR21" s="452"/>
    </row>
    <row r="22" spans="1:44" hidden="1" x14ac:dyDescent="0.2">
      <c r="A22" s="147" t="s">
        <v>217</v>
      </c>
      <c r="B22" s="1315" t="str">
        <f>IF(Zona7&lt;&gt;"",Zona7,"")</f>
        <v/>
      </c>
      <c r="C22" s="449"/>
      <c r="D22" s="473"/>
      <c r="E22" s="450"/>
      <c r="F22" s="449"/>
      <c r="G22" s="473"/>
      <c r="H22" s="450"/>
      <c r="I22" s="449"/>
      <c r="J22" s="473"/>
      <c r="K22" s="450"/>
      <c r="L22" s="449"/>
      <c r="M22" s="473"/>
      <c r="N22" s="450"/>
      <c r="O22" s="449"/>
      <c r="P22" s="473"/>
      <c r="Q22" s="450"/>
      <c r="R22" s="449"/>
      <c r="S22" s="473"/>
      <c r="T22" s="473"/>
      <c r="U22" s="449"/>
      <c r="V22" s="473"/>
      <c r="W22" s="473"/>
      <c r="X22" s="449"/>
      <c r="Y22" s="473"/>
      <c r="Z22" s="473"/>
      <c r="AA22" s="449"/>
      <c r="AB22" s="473"/>
      <c r="AC22" s="450"/>
      <c r="AD22" s="449"/>
      <c r="AE22" s="473"/>
      <c r="AF22" s="450"/>
      <c r="AG22" s="449"/>
      <c r="AH22" s="473"/>
      <c r="AI22" s="450"/>
      <c r="AJ22" s="449"/>
      <c r="AK22" s="473"/>
      <c r="AL22" s="450"/>
      <c r="AM22" s="447"/>
      <c r="AN22" s="472"/>
      <c r="AO22" s="507"/>
      <c r="AP22" s="447"/>
      <c r="AQ22" s="472"/>
      <c r="AR22" s="507"/>
    </row>
    <row r="23" spans="1:44" hidden="1" x14ac:dyDescent="0.2">
      <c r="A23" s="147" t="s">
        <v>218</v>
      </c>
      <c r="B23" s="1316"/>
      <c r="C23" s="449"/>
      <c r="D23" s="473"/>
      <c r="E23" s="450"/>
      <c r="F23" s="449"/>
      <c r="G23" s="473"/>
      <c r="H23" s="450"/>
      <c r="I23" s="449"/>
      <c r="J23" s="473"/>
      <c r="K23" s="450"/>
      <c r="L23" s="449"/>
      <c r="M23" s="473"/>
      <c r="N23" s="450"/>
      <c r="O23" s="449"/>
      <c r="P23" s="473"/>
      <c r="Q23" s="450"/>
      <c r="R23" s="449"/>
      <c r="S23" s="473"/>
      <c r="T23" s="473"/>
      <c r="U23" s="449"/>
      <c r="V23" s="473"/>
      <c r="W23" s="473"/>
      <c r="X23" s="449"/>
      <c r="Y23" s="473"/>
      <c r="Z23" s="473"/>
      <c r="AA23" s="449"/>
      <c r="AB23" s="473"/>
      <c r="AC23" s="450"/>
      <c r="AD23" s="449"/>
      <c r="AE23" s="473"/>
      <c r="AF23" s="450"/>
      <c r="AG23" s="449"/>
      <c r="AH23" s="473"/>
      <c r="AI23" s="450"/>
      <c r="AJ23" s="449"/>
      <c r="AK23" s="473"/>
      <c r="AL23" s="450"/>
      <c r="AM23" s="449"/>
      <c r="AN23" s="473"/>
      <c r="AO23" s="450"/>
      <c r="AP23" s="449"/>
      <c r="AQ23" s="473"/>
      <c r="AR23" s="450"/>
    </row>
    <row r="24" spans="1:44" hidden="1" x14ac:dyDescent="0.2">
      <c r="A24" s="147" t="s">
        <v>82</v>
      </c>
      <c r="B24" s="1317"/>
      <c r="C24" s="451"/>
      <c r="D24" s="474"/>
      <c r="E24" s="452"/>
      <c r="F24" s="451"/>
      <c r="G24" s="474"/>
      <c r="H24" s="452"/>
      <c r="I24" s="451"/>
      <c r="J24" s="474"/>
      <c r="K24" s="452"/>
      <c r="L24" s="451"/>
      <c r="M24" s="474"/>
      <c r="N24" s="452"/>
      <c r="O24" s="451"/>
      <c r="P24" s="474"/>
      <c r="Q24" s="452"/>
      <c r="R24" s="451"/>
      <c r="S24" s="474"/>
      <c r="T24" s="474"/>
      <c r="U24" s="451"/>
      <c r="V24" s="474"/>
      <c r="W24" s="474"/>
      <c r="X24" s="451"/>
      <c r="Y24" s="474"/>
      <c r="Z24" s="474"/>
      <c r="AA24" s="451"/>
      <c r="AB24" s="474"/>
      <c r="AC24" s="452"/>
      <c r="AD24" s="451"/>
      <c r="AE24" s="474"/>
      <c r="AF24" s="452"/>
      <c r="AG24" s="451"/>
      <c r="AH24" s="474"/>
      <c r="AI24" s="452"/>
      <c r="AJ24" s="451"/>
      <c r="AK24" s="474"/>
      <c r="AL24" s="452"/>
      <c r="AM24" s="451"/>
      <c r="AN24" s="474"/>
      <c r="AO24" s="452"/>
      <c r="AP24" s="451"/>
      <c r="AQ24" s="474"/>
      <c r="AR24" s="452"/>
    </row>
    <row r="25" spans="1:44" hidden="1" x14ac:dyDescent="0.2">
      <c r="A25" s="147" t="s">
        <v>217</v>
      </c>
      <c r="B25" s="1315" t="str">
        <f>IF(Zona8&lt;&gt;"",Zona8,"")</f>
        <v/>
      </c>
      <c r="C25" s="447"/>
      <c r="D25" s="473"/>
      <c r="E25" s="450"/>
      <c r="F25" s="447"/>
      <c r="G25" s="472"/>
      <c r="H25" s="448"/>
      <c r="I25" s="447"/>
      <c r="J25" s="472"/>
      <c r="K25" s="448"/>
      <c r="L25" s="472"/>
      <c r="M25" s="472"/>
      <c r="N25" s="448"/>
      <c r="O25" s="447"/>
      <c r="P25" s="472"/>
      <c r="Q25" s="448"/>
      <c r="R25" s="447"/>
      <c r="S25" s="472"/>
      <c r="T25" s="472"/>
      <c r="U25" s="447"/>
      <c r="V25" s="472"/>
      <c r="W25" s="472"/>
      <c r="X25" s="447"/>
      <c r="Y25" s="472"/>
      <c r="Z25" s="472"/>
      <c r="AA25" s="447"/>
      <c r="AB25" s="472"/>
      <c r="AC25" s="448"/>
      <c r="AD25" s="447"/>
      <c r="AE25" s="472"/>
      <c r="AF25" s="448"/>
      <c r="AG25" s="447"/>
      <c r="AH25" s="472"/>
      <c r="AI25" s="448"/>
      <c r="AJ25" s="447"/>
      <c r="AK25" s="472"/>
      <c r="AL25" s="448"/>
      <c r="AM25" s="447"/>
      <c r="AN25" s="472"/>
      <c r="AO25" s="507"/>
      <c r="AP25" s="447"/>
      <c r="AQ25" s="472"/>
      <c r="AR25" s="507"/>
    </row>
    <row r="26" spans="1:44" hidden="1" x14ac:dyDescent="0.2">
      <c r="A26" s="147" t="s">
        <v>218</v>
      </c>
      <c r="B26" s="1316"/>
      <c r="C26" s="449"/>
      <c r="D26" s="473"/>
      <c r="E26" s="450"/>
      <c r="F26" s="449"/>
      <c r="G26" s="473"/>
      <c r="H26" s="450"/>
      <c r="I26" s="449"/>
      <c r="J26" s="473"/>
      <c r="K26" s="450"/>
      <c r="L26" s="449"/>
      <c r="M26" s="473"/>
      <c r="N26" s="450"/>
      <c r="O26" s="449"/>
      <c r="P26" s="473"/>
      <c r="Q26" s="450"/>
      <c r="R26" s="449"/>
      <c r="S26" s="473"/>
      <c r="T26" s="473"/>
      <c r="U26" s="449"/>
      <c r="V26" s="473"/>
      <c r="W26" s="473"/>
      <c r="X26" s="449"/>
      <c r="Y26" s="473"/>
      <c r="Z26" s="473"/>
      <c r="AA26" s="449"/>
      <c r="AB26" s="473"/>
      <c r="AC26" s="450"/>
      <c r="AD26" s="449"/>
      <c r="AE26" s="473"/>
      <c r="AF26" s="450"/>
      <c r="AG26" s="449"/>
      <c r="AH26" s="473"/>
      <c r="AI26" s="450"/>
      <c r="AJ26" s="449"/>
      <c r="AK26" s="473"/>
      <c r="AL26" s="450"/>
      <c r="AM26" s="449"/>
      <c r="AN26" s="473"/>
      <c r="AO26" s="450"/>
      <c r="AP26" s="449"/>
      <c r="AQ26" s="473"/>
      <c r="AR26" s="450"/>
    </row>
    <row r="27" spans="1:44" hidden="1" x14ac:dyDescent="0.2">
      <c r="A27" s="147" t="s">
        <v>82</v>
      </c>
      <c r="B27" s="1317"/>
      <c r="C27" s="451"/>
      <c r="D27" s="474"/>
      <c r="E27" s="452"/>
      <c r="F27" s="449"/>
      <c r="G27" s="473"/>
      <c r="H27" s="450"/>
      <c r="I27" s="449"/>
      <c r="J27" s="473"/>
      <c r="K27" s="450"/>
      <c r="L27" s="451"/>
      <c r="M27" s="474"/>
      <c r="N27" s="452"/>
      <c r="O27" s="449"/>
      <c r="P27" s="473"/>
      <c r="Q27" s="450"/>
      <c r="R27" s="449"/>
      <c r="S27" s="473"/>
      <c r="T27" s="473"/>
      <c r="U27" s="449"/>
      <c r="V27" s="473"/>
      <c r="W27" s="473"/>
      <c r="X27" s="449"/>
      <c r="Y27" s="473"/>
      <c r="Z27" s="473"/>
      <c r="AA27" s="449"/>
      <c r="AB27" s="473"/>
      <c r="AC27" s="450"/>
      <c r="AD27" s="449"/>
      <c r="AE27" s="473"/>
      <c r="AF27" s="450"/>
      <c r="AG27" s="449"/>
      <c r="AH27" s="473"/>
      <c r="AI27" s="450"/>
      <c r="AJ27" s="449"/>
      <c r="AK27" s="473"/>
      <c r="AL27" s="450"/>
      <c r="AM27" s="451"/>
      <c r="AN27" s="474"/>
      <c r="AO27" s="452"/>
      <c r="AP27" s="451"/>
      <c r="AQ27" s="474"/>
      <c r="AR27" s="452"/>
    </row>
    <row r="28" spans="1:44" hidden="1" x14ac:dyDescent="0.2">
      <c r="A28" s="147" t="s">
        <v>217</v>
      </c>
      <c r="B28" s="1315" t="str">
        <f>IF(Zona9&lt;&gt;"",Zona9,"")</f>
        <v/>
      </c>
      <c r="C28" s="449"/>
      <c r="D28" s="473"/>
      <c r="E28" s="450"/>
      <c r="F28" s="447"/>
      <c r="G28" s="472"/>
      <c r="H28" s="448"/>
      <c r="I28" s="447"/>
      <c r="J28" s="472"/>
      <c r="K28" s="448"/>
      <c r="L28" s="447"/>
      <c r="M28" s="472"/>
      <c r="N28" s="448"/>
      <c r="O28" s="447"/>
      <c r="P28" s="472"/>
      <c r="Q28" s="448"/>
      <c r="R28" s="447"/>
      <c r="S28" s="472"/>
      <c r="T28" s="472"/>
      <c r="U28" s="447"/>
      <c r="V28" s="472"/>
      <c r="W28" s="472"/>
      <c r="X28" s="447"/>
      <c r="Y28" s="472"/>
      <c r="Z28" s="472"/>
      <c r="AA28" s="447"/>
      <c r="AB28" s="472"/>
      <c r="AC28" s="448"/>
      <c r="AD28" s="447"/>
      <c r="AE28" s="472"/>
      <c r="AF28" s="448"/>
      <c r="AG28" s="447"/>
      <c r="AH28" s="472"/>
      <c r="AI28" s="448"/>
      <c r="AJ28" s="447"/>
      <c r="AK28" s="472"/>
      <c r="AL28" s="448"/>
      <c r="AM28" s="447"/>
      <c r="AN28" s="472"/>
      <c r="AO28" s="507"/>
      <c r="AP28" s="447"/>
      <c r="AQ28" s="472"/>
      <c r="AR28" s="507"/>
    </row>
    <row r="29" spans="1:44" hidden="1" x14ac:dyDescent="0.2">
      <c r="A29" s="147" t="s">
        <v>218</v>
      </c>
      <c r="B29" s="1316"/>
      <c r="C29" s="449"/>
      <c r="D29" s="473"/>
      <c r="E29" s="450"/>
      <c r="F29" s="449"/>
      <c r="G29" s="473"/>
      <c r="H29" s="450"/>
      <c r="I29" s="449"/>
      <c r="J29" s="473"/>
      <c r="K29" s="450"/>
      <c r="L29" s="449"/>
      <c r="M29" s="473"/>
      <c r="N29" s="450"/>
      <c r="O29" s="449"/>
      <c r="P29" s="473"/>
      <c r="Q29" s="450"/>
      <c r="R29" s="449"/>
      <c r="S29" s="473"/>
      <c r="T29" s="473"/>
      <c r="U29" s="449"/>
      <c r="V29" s="473"/>
      <c r="W29" s="473"/>
      <c r="X29" s="449"/>
      <c r="Y29" s="473"/>
      <c r="Z29" s="473"/>
      <c r="AA29" s="449"/>
      <c r="AB29" s="473"/>
      <c r="AC29" s="450"/>
      <c r="AD29" s="449"/>
      <c r="AE29" s="473"/>
      <c r="AF29" s="450"/>
      <c r="AG29" s="449"/>
      <c r="AH29" s="473"/>
      <c r="AI29" s="450"/>
      <c r="AJ29" s="449"/>
      <c r="AK29" s="473"/>
      <c r="AL29" s="450"/>
      <c r="AM29" s="449"/>
      <c r="AN29" s="473"/>
      <c r="AO29" s="450"/>
      <c r="AP29" s="449"/>
      <c r="AQ29" s="473"/>
      <c r="AR29" s="450"/>
    </row>
    <row r="30" spans="1:44" hidden="1" x14ac:dyDescent="0.2">
      <c r="A30" s="147" t="s">
        <v>82</v>
      </c>
      <c r="B30" s="1317"/>
      <c r="C30" s="451"/>
      <c r="D30" s="474"/>
      <c r="E30" s="452"/>
      <c r="F30" s="449"/>
      <c r="G30" s="473"/>
      <c r="H30" s="450"/>
      <c r="I30" s="449"/>
      <c r="J30" s="473"/>
      <c r="K30" s="450"/>
      <c r="L30" s="449"/>
      <c r="M30" s="473"/>
      <c r="N30" s="450"/>
      <c r="O30" s="449"/>
      <c r="P30" s="473"/>
      <c r="Q30" s="450"/>
      <c r="R30" s="449"/>
      <c r="S30" s="473"/>
      <c r="T30" s="473"/>
      <c r="U30" s="449"/>
      <c r="V30" s="473"/>
      <c r="W30" s="473"/>
      <c r="X30" s="449"/>
      <c r="Y30" s="473"/>
      <c r="Z30" s="473"/>
      <c r="AA30" s="449"/>
      <c r="AB30" s="473"/>
      <c r="AC30" s="450"/>
      <c r="AD30" s="449"/>
      <c r="AE30" s="473"/>
      <c r="AF30" s="450"/>
      <c r="AG30" s="449"/>
      <c r="AH30" s="473"/>
      <c r="AI30" s="450"/>
      <c r="AJ30" s="449"/>
      <c r="AK30" s="473"/>
      <c r="AL30" s="450"/>
      <c r="AM30" s="451"/>
      <c r="AN30" s="474"/>
      <c r="AO30" s="452"/>
      <c r="AP30" s="451"/>
      <c r="AQ30" s="474"/>
      <c r="AR30" s="452"/>
    </row>
    <row r="31" spans="1:44" hidden="1" x14ac:dyDescent="0.2">
      <c r="A31" s="147" t="s">
        <v>217</v>
      </c>
      <c r="B31" s="1315" t="str">
        <f>IF(Zona10&lt;&gt;"",Zona10,"")</f>
        <v/>
      </c>
      <c r="C31" s="449"/>
      <c r="D31" s="473"/>
      <c r="E31" s="450"/>
      <c r="F31" s="447"/>
      <c r="G31" s="472"/>
      <c r="H31" s="448"/>
      <c r="I31" s="447"/>
      <c r="J31" s="472"/>
      <c r="K31" s="448"/>
      <c r="L31" s="447"/>
      <c r="M31" s="472"/>
      <c r="N31" s="448"/>
      <c r="O31" s="447"/>
      <c r="P31" s="472"/>
      <c r="Q31" s="448"/>
      <c r="R31" s="447"/>
      <c r="S31" s="472"/>
      <c r="T31" s="472"/>
      <c r="U31" s="447"/>
      <c r="V31" s="472"/>
      <c r="W31" s="472"/>
      <c r="X31" s="447"/>
      <c r="Y31" s="472"/>
      <c r="Z31" s="472"/>
      <c r="AA31" s="447"/>
      <c r="AB31" s="472"/>
      <c r="AC31" s="448"/>
      <c r="AD31" s="447"/>
      <c r="AE31" s="472"/>
      <c r="AF31" s="448"/>
      <c r="AG31" s="447"/>
      <c r="AH31" s="472"/>
      <c r="AI31" s="448"/>
      <c r="AJ31" s="447"/>
      <c r="AK31" s="472"/>
      <c r="AL31" s="448"/>
      <c r="AM31" s="447"/>
      <c r="AN31" s="472"/>
      <c r="AO31" s="507"/>
      <c r="AP31" s="447"/>
      <c r="AQ31" s="472"/>
      <c r="AR31" s="507"/>
    </row>
    <row r="32" spans="1:44" hidden="1" x14ac:dyDescent="0.2">
      <c r="A32" s="147" t="s">
        <v>218</v>
      </c>
      <c r="B32" s="1316"/>
      <c r="C32" s="449"/>
      <c r="D32" s="473"/>
      <c r="E32" s="450"/>
      <c r="F32" s="449"/>
      <c r="G32" s="473"/>
      <c r="H32" s="450"/>
      <c r="I32" s="449"/>
      <c r="J32" s="473"/>
      <c r="K32" s="450"/>
      <c r="L32" s="449"/>
      <c r="M32" s="473"/>
      <c r="N32" s="450"/>
      <c r="O32" s="449"/>
      <c r="P32" s="473"/>
      <c r="Q32" s="450"/>
      <c r="R32" s="449"/>
      <c r="S32" s="473"/>
      <c r="T32" s="473"/>
      <c r="U32" s="449"/>
      <c r="V32" s="473"/>
      <c r="W32" s="473"/>
      <c r="X32" s="449"/>
      <c r="Y32" s="473"/>
      <c r="Z32" s="473"/>
      <c r="AA32" s="449"/>
      <c r="AB32" s="473"/>
      <c r="AC32" s="450"/>
      <c r="AD32" s="449"/>
      <c r="AE32" s="473"/>
      <c r="AF32" s="450"/>
      <c r="AG32" s="449"/>
      <c r="AH32" s="473"/>
      <c r="AI32" s="450"/>
      <c r="AJ32" s="449"/>
      <c r="AK32" s="473"/>
      <c r="AL32" s="450"/>
      <c r="AM32" s="449"/>
      <c r="AN32" s="473"/>
      <c r="AO32" s="450"/>
      <c r="AP32" s="449"/>
      <c r="AQ32" s="473"/>
      <c r="AR32" s="450"/>
    </row>
    <row r="33" spans="1:44" hidden="1" x14ac:dyDescent="0.2">
      <c r="A33" s="147" t="s">
        <v>82</v>
      </c>
      <c r="B33" s="1317"/>
      <c r="C33" s="451"/>
      <c r="D33" s="474"/>
      <c r="E33" s="452"/>
      <c r="F33" s="449"/>
      <c r="G33" s="473"/>
      <c r="H33" s="450"/>
      <c r="I33" s="449"/>
      <c r="J33" s="473"/>
      <c r="K33" s="450"/>
      <c r="L33" s="449"/>
      <c r="M33" s="473"/>
      <c r="N33" s="450"/>
      <c r="O33" s="449"/>
      <c r="P33" s="473"/>
      <c r="Q33" s="450"/>
      <c r="R33" s="449"/>
      <c r="S33" s="473"/>
      <c r="T33" s="473"/>
      <c r="U33" s="449"/>
      <c r="V33" s="473"/>
      <c r="W33" s="473"/>
      <c r="X33" s="449"/>
      <c r="Y33" s="473"/>
      <c r="Z33" s="473"/>
      <c r="AA33" s="449"/>
      <c r="AB33" s="473"/>
      <c r="AC33" s="450"/>
      <c r="AD33" s="449"/>
      <c r="AE33" s="473"/>
      <c r="AF33" s="450"/>
      <c r="AG33" s="449"/>
      <c r="AH33" s="473"/>
      <c r="AI33" s="450"/>
      <c r="AJ33" s="449"/>
      <c r="AK33" s="473"/>
      <c r="AL33" s="450"/>
      <c r="AM33" s="451"/>
      <c r="AN33" s="474"/>
      <c r="AO33" s="452"/>
      <c r="AP33" s="451"/>
      <c r="AQ33" s="474"/>
      <c r="AR33" s="452"/>
    </row>
    <row r="34" spans="1:44" hidden="1" x14ac:dyDescent="0.2">
      <c r="A34" s="147" t="s">
        <v>217</v>
      </c>
      <c r="B34" s="1315" t="str">
        <f>IF(Zona11&lt;&gt;"",Zona11,"")</f>
        <v/>
      </c>
      <c r="C34" s="449"/>
      <c r="D34" s="473"/>
      <c r="E34" s="450"/>
      <c r="F34" s="447"/>
      <c r="G34" s="472"/>
      <c r="H34" s="448"/>
      <c r="I34" s="447"/>
      <c r="J34" s="472"/>
      <c r="K34" s="448"/>
      <c r="L34" s="447"/>
      <c r="M34" s="472"/>
      <c r="N34" s="448"/>
      <c r="O34" s="447"/>
      <c r="P34" s="472"/>
      <c r="Q34" s="448"/>
      <c r="R34" s="447"/>
      <c r="S34" s="472"/>
      <c r="T34" s="472"/>
      <c r="U34" s="447"/>
      <c r="V34" s="472"/>
      <c r="W34" s="472"/>
      <c r="X34" s="447"/>
      <c r="Y34" s="472"/>
      <c r="Z34" s="472"/>
      <c r="AA34" s="447"/>
      <c r="AB34" s="472"/>
      <c r="AC34" s="448"/>
      <c r="AD34" s="447"/>
      <c r="AE34" s="472"/>
      <c r="AF34" s="448"/>
      <c r="AG34" s="447"/>
      <c r="AH34" s="472"/>
      <c r="AI34" s="448"/>
      <c r="AJ34" s="447"/>
      <c r="AK34" s="472"/>
      <c r="AL34" s="448"/>
      <c r="AM34" s="447"/>
      <c r="AN34" s="472"/>
      <c r="AO34" s="507"/>
      <c r="AP34" s="447"/>
      <c r="AQ34" s="472"/>
      <c r="AR34" s="507"/>
    </row>
    <row r="35" spans="1:44" hidden="1" x14ac:dyDescent="0.2">
      <c r="A35" s="147" t="s">
        <v>218</v>
      </c>
      <c r="B35" s="1316"/>
      <c r="C35" s="449"/>
      <c r="D35" s="473"/>
      <c r="E35" s="450"/>
      <c r="F35" s="449"/>
      <c r="G35" s="473"/>
      <c r="H35" s="450"/>
      <c r="I35" s="449"/>
      <c r="J35" s="473"/>
      <c r="K35" s="450"/>
      <c r="L35" s="449"/>
      <c r="M35" s="473"/>
      <c r="N35" s="450"/>
      <c r="O35" s="449"/>
      <c r="P35" s="473"/>
      <c r="Q35" s="450"/>
      <c r="R35" s="449"/>
      <c r="S35" s="473"/>
      <c r="T35" s="473"/>
      <c r="U35" s="449"/>
      <c r="V35" s="473"/>
      <c r="W35" s="473"/>
      <c r="X35" s="449"/>
      <c r="Y35" s="473"/>
      <c r="Z35" s="473"/>
      <c r="AA35" s="449"/>
      <c r="AB35" s="473"/>
      <c r="AC35" s="450"/>
      <c r="AD35" s="449"/>
      <c r="AE35" s="473"/>
      <c r="AF35" s="450"/>
      <c r="AG35" s="449"/>
      <c r="AH35" s="473"/>
      <c r="AI35" s="450"/>
      <c r="AJ35" s="449"/>
      <c r="AK35" s="473"/>
      <c r="AL35" s="450"/>
      <c r="AM35" s="449"/>
      <c r="AN35" s="473"/>
      <c r="AO35" s="450"/>
      <c r="AP35" s="449"/>
      <c r="AQ35" s="473"/>
      <c r="AR35" s="450"/>
    </row>
    <row r="36" spans="1:44" hidden="1" x14ac:dyDescent="0.2">
      <c r="A36" s="147" t="s">
        <v>82</v>
      </c>
      <c r="B36" s="1317"/>
      <c r="C36" s="451"/>
      <c r="D36" s="474"/>
      <c r="E36" s="452"/>
      <c r="F36" s="449"/>
      <c r="G36" s="473"/>
      <c r="H36" s="450"/>
      <c r="I36" s="449"/>
      <c r="J36" s="473"/>
      <c r="K36" s="450"/>
      <c r="L36" s="449"/>
      <c r="M36" s="473"/>
      <c r="N36" s="450"/>
      <c r="O36" s="449"/>
      <c r="P36" s="473"/>
      <c r="Q36" s="450"/>
      <c r="R36" s="451"/>
      <c r="S36" s="474"/>
      <c r="T36" s="474"/>
      <c r="U36" s="451"/>
      <c r="V36" s="474"/>
      <c r="W36" s="474"/>
      <c r="X36" s="451"/>
      <c r="Y36" s="474"/>
      <c r="Z36" s="474"/>
      <c r="AA36" s="451"/>
      <c r="AB36" s="474"/>
      <c r="AC36" s="452"/>
      <c r="AD36" s="451"/>
      <c r="AE36" s="474"/>
      <c r="AF36" s="452"/>
      <c r="AG36" s="451"/>
      <c r="AH36" s="474"/>
      <c r="AI36" s="452"/>
      <c r="AJ36" s="451"/>
      <c r="AK36" s="474"/>
      <c r="AL36" s="452"/>
      <c r="AM36" s="451"/>
      <c r="AN36" s="474"/>
      <c r="AO36" s="452"/>
      <c r="AP36" s="451"/>
      <c r="AQ36" s="474"/>
      <c r="AR36" s="452"/>
    </row>
    <row r="37" spans="1:44" hidden="1" x14ac:dyDescent="0.2">
      <c r="A37" s="147" t="s">
        <v>217</v>
      </c>
      <c r="B37" s="1315" t="str">
        <f>IF(Zona12&lt;&gt;"",Zona12,"")</f>
        <v/>
      </c>
      <c r="C37" s="449"/>
      <c r="D37" s="473"/>
      <c r="E37" s="450"/>
      <c r="F37" s="447"/>
      <c r="G37" s="472"/>
      <c r="H37" s="448"/>
      <c r="I37" s="447"/>
      <c r="J37" s="472"/>
      <c r="K37" s="448"/>
      <c r="L37" s="447"/>
      <c r="M37" s="472"/>
      <c r="N37" s="448"/>
      <c r="O37" s="447"/>
      <c r="P37" s="472"/>
      <c r="Q37" s="448"/>
      <c r="R37" s="447"/>
      <c r="S37" s="472"/>
      <c r="T37" s="472"/>
      <c r="U37" s="447"/>
      <c r="V37" s="472"/>
      <c r="W37" s="472"/>
      <c r="X37" s="447"/>
      <c r="Y37" s="472"/>
      <c r="Z37" s="472"/>
      <c r="AA37" s="447"/>
      <c r="AB37" s="472"/>
      <c r="AC37" s="448"/>
      <c r="AD37" s="447"/>
      <c r="AE37" s="472"/>
      <c r="AF37" s="448"/>
      <c r="AG37" s="447"/>
      <c r="AH37" s="472"/>
      <c r="AI37" s="448"/>
      <c r="AJ37" s="447"/>
      <c r="AK37" s="472"/>
      <c r="AL37" s="448"/>
      <c r="AM37" s="447"/>
      <c r="AN37" s="472"/>
      <c r="AO37" s="507"/>
      <c r="AP37" s="447"/>
      <c r="AQ37" s="472"/>
      <c r="AR37" s="507"/>
    </row>
    <row r="38" spans="1:44" hidden="1" x14ac:dyDescent="0.2">
      <c r="A38" s="147" t="s">
        <v>218</v>
      </c>
      <c r="B38" s="1316"/>
      <c r="C38" s="449"/>
      <c r="D38" s="473"/>
      <c r="E38" s="450"/>
      <c r="F38" s="449"/>
      <c r="G38" s="473"/>
      <c r="H38" s="450"/>
      <c r="I38" s="449"/>
      <c r="J38" s="473"/>
      <c r="K38" s="450"/>
      <c r="L38" s="449"/>
      <c r="M38" s="473"/>
      <c r="N38" s="450"/>
      <c r="O38" s="449"/>
      <c r="P38" s="473"/>
      <c r="Q38" s="450"/>
      <c r="R38" s="449"/>
      <c r="S38" s="473"/>
      <c r="T38" s="473"/>
      <c r="U38" s="449"/>
      <c r="V38" s="473"/>
      <c r="W38" s="473"/>
      <c r="X38" s="449"/>
      <c r="Y38" s="473"/>
      <c r="Z38" s="473"/>
      <c r="AA38" s="449"/>
      <c r="AB38" s="473"/>
      <c r="AC38" s="450"/>
      <c r="AD38" s="449"/>
      <c r="AE38" s="473"/>
      <c r="AF38" s="450"/>
      <c r="AG38" s="449"/>
      <c r="AH38" s="473"/>
      <c r="AI38" s="450"/>
      <c r="AJ38" s="449"/>
      <c r="AK38" s="473"/>
      <c r="AL38" s="450"/>
      <c r="AM38" s="449"/>
      <c r="AN38" s="473"/>
      <c r="AO38" s="450"/>
      <c r="AP38" s="449"/>
      <c r="AQ38" s="473"/>
      <c r="AR38" s="450"/>
    </row>
    <row r="39" spans="1:44" hidden="1" x14ac:dyDescent="0.2">
      <c r="A39" s="147" t="s">
        <v>82</v>
      </c>
      <c r="B39" s="1317"/>
      <c r="C39" s="451"/>
      <c r="D39" s="474"/>
      <c r="E39" s="452"/>
      <c r="F39" s="451"/>
      <c r="G39" s="474"/>
      <c r="H39" s="452"/>
      <c r="I39" s="451"/>
      <c r="J39" s="474"/>
      <c r="K39" s="452"/>
      <c r="L39" s="451"/>
      <c r="M39" s="474"/>
      <c r="N39" s="452"/>
      <c r="O39" s="451"/>
      <c r="P39" s="474"/>
      <c r="Q39" s="452"/>
      <c r="R39" s="451"/>
      <c r="S39" s="474"/>
      <c r="T39" s="474"/>
      <c r="U39" s="451"/>
      <c r="V39" s="474"/>
      <c r="W39" s="474"/>
      <c r="X39" s="451"/>
      <c r="Y39" s="474"/>
      <c r="Z39" s="474"/>
      <c r="AA39" s="451"/>
      <c r="AB39" s="474"/>
      <c r="AC39" s="452"/>
      <c r="AD39" s="451"/>
      <c r="AE39" s="474"/>
      <c r="AF39" s="452"/>
      <c r="AG39" s="451"/>
      <c r="AH39" s="474"/>
      <c r="AI39" s="452"/>
      <c r="AJ39" s="451"/>
      <c r="AK39" s="474"/>
      <c r="AL39" s="452"/>
      <c r="AM39" s="451"/>
      <c r="AN39" s="474"/>
      <c r="AO39" s="452"/>
      <c r="AP39" s="451"/>
      <c r="AQ39" s="474"/>
      <c r="AR39" s="452"/>
    </row>
    <row r="40" spans="1:44" hidden="1" x14ac:dyDescent="0.2">
      <c r="A40" s="147" t="s">
        <v>217</v>
      </c>
      <c r="B40" s="1315" t="str">
        <f>IF(Zona13&lt;&gt;"",Zona13,"")</f>
        <v/>
      </c>
      <c r="C40" s="449"/>
      <c r="D40" s="473"/>
      <c r="E40" s="450"/>
      <c r="F40" s="449"/>
      <c r="G40" s="473"/>
      <c r="H40" s="450"/>
      <c r="I40" s="449"/>
      <c r="J40" s="473"/>
      <c r="K40" s="450"/>
      <c r="L40" s="473"/>
      <c r="M40" s="473"/>
      <c r="N40" s="450"/>
      <c r="O40" s="473"/>
      <c r="P40" s="473"/>
      <c r="Q40" s="450"/>
      <c r="R40" s="449"/>
      <c r="S40" s="473"/>
      <c r="T40" s="473"/>
      <c r="U40" s="449"/>
      <c r="V40" s="473"/>
      <c r="W40" s="473"/>
      <c r="X40" s="449"/>
      <c r="Y40" s="473"/>
      <c r="Z40" s="473"/>
      <c r="AA40" s="449"/>
      <c r="AB40" s="473"/>
      <c r="AC40" s="450"/>
      <c r="AD40" s="449"/>
      <c r="AE40" s="473"/>
      <c r="AF40" s="450"/>
      <c r="AG40" s="449"/>
      <c r="AH40" s="473"/>
      <c r="AI40" s="450"/>
      <c r="AJ40" s="449"/>
      <c r="AK40" s="473"/>
      <c r="AL40" s="450"/>
      <c r="AM40" s="447"/>
      <c r="AN40" s="472"/>
      <c r="AO40" s="507"/>
      <c r="AP40" s="447"/>
      <c r="AQ40" s="472"/>
      <c r="AR40" s="507"/>
    </row>
    <row r="41" spans="1:44" hidden="1" x14ac:dyDescent="0.2">
      <c r="A41" s="147" t="s">
        <v>218</v>
      </c>
      <c r="B41" s="1316"/>
      <c r="C41" s="449"/>
      <c r="D41" s="473"/>
      <c r="E41" s="450"/>
      <c r="F41" s="449"/>
      <c r="G41" s="473"/>
      <c r="H41" s="450"/>
      <c r="I41" s="449"/>
      <c r="J41" s="473"/>
      <c r="K41" s="450"/>
      <c r="L41" s="473"/>
      <c r="M41" s="473"/>
      <c r="N41" s="450"/>
      <c r="O41" s="473"/>
      <c r="P41" s="473"/>
      <c r="Q41" s="450"/>
      <c r="R41" s="449"/>
      <c r="S41" s="473"/>
      <c r="T41" s="473"/>
      <c r="U41" s="449"/>
      <c r="V41" s="473"/>
      <c r="W41" s="473"/>
      <c r="X41" s="449"/>
      <c r="Y41" s="473"/>
      <c r="Z41" s="473"/>
      <c r="AA41" s="449"/>
      <c r="AB41" s="473"/>
      <c r="AC41" s="450"/>
      <c r="AD41" s="449"/>
      <c r="AE41" s="473"/>
      <c r="AF41" s="450"/>
      <c r="AG41" s="449"/>
      <c r="AH41" s="473"/>
      <c r="AI41" s="450"/>
      <c r="AJ41" s="449"/>
      <c r="AK41" s="473"/>
      <c r="AL41" s="450"/>
      <c r="AM41" s="449"/>
      <c r="AN41" s="473"/>
      <c r="AO41" s="450"/>
      <c r="AP41" s="449"/>
      <c r="AQ41" s="473"/>
      <c r="AR41" s="450"/>
    </row>
    <row r="42" spans="1:44" hidden="1" x14ac:dyDescent="0.2">
      <c r="A42" s="147" t="s">
        <v>82</v>
      </c>
      <c r="B42" s="1317"/>
      <c r="C42" s="451"/>
      <c r="D42" s="474"/>
      <c r="E42" s="452"/>
      <c r="F42" s="451"/>
      <c r="G42" s="474"/>
      <c r="H42" s="452"/>
      <c r="I42" s="451"/>
      <c r="J42" s="474"/>
      <c r="K42" s="452"/>
      <c r="L42" s="474"/>
      <c r="M42" s="474"/>
      <c r="N42" s="452"/>
      <c r="O42" s="474"/>
      <c r="P42" s="474"/>
      <c r="Q42" s="452"/>
      <c r="R42" s="451"/>
      <c r="S42" s="474"/>
      <c r="T42" s="474"/>
      <c r="U42" s="451"/>
      <c r="V42" s="474"/>
      <c r="W42" s="474"/>
      <c r="X42" s="451"/>
      <c r="Y42" s="474"/>
      <c r="Z42" s="474"/>
      <c r="AA42" s="451"/>
      <c r="AB42" s="474"/>
      <c r="AC42" s="452"/>
      <c r="AD42" s="451"/>
      <c r="AE42" s="474"/>
      <c r="AF42" s="452"/>
      <c r="AG42" s="451"/>
      <c r="AH42" s="474"/>
      <c r="AI42" s="452"/>
      <c r="AJ42" s="451"/>
      <c r="AK42" s="474"/>
      <c r="AL42" s="452"/>
      <c r="AM42" s="451"/>
      <c r="AN42" s="474"/>
      <c r="AO42" s="452"/>
      <c r="AP42" s="451"/>
      <c r="AQ42" s="474"/>
      <c r="AR42" s="452"/>
    </row>
    <row r="43" spans="1:44" hidden="1" x14ac:dyDescent="0.2">
      <c r="A43" s="147" t="s">
        <v>217</v>
      </c>
      <c r="B43" s="1315" t="str">
        <f>IF(Zona14&lt;&gt;"",Zona14,"")</f>
        <v/>
      </c>
      <c r="C43" s="449"/>
      <c r="D43" s="473"/>
      <c r="E43" s="450"/>
      <c r="F43" s="449"/>
      <c r="G43" s="473"/>
      <c r="H43" s="450"/>
      <c r="I43" s="449"/>
      <c r="J43" s="473"/>
      <c r="K43" s="450"/>
      <c r="L43" s="473"/>
      <c r="M43" s="473"/>
      <c r="N43" s="450"/>
      <c r="O43" s="473"/>
      <c r="P43" s="473"/>
      <c r="Q43" s="450"/>
      <c r="R43" s="449"/>
      <c r="S43" s="473"/>
      <c r="T43" s="473"/>
      <c r="U43" s="449"/>
      <c r="V43" s="473"/>
      <c r="W43" s="473"/>
      <c r="X43" s="449"/>
      <c r="Y43" s="473"/>
      <c r="Z43" s="473"/>
      <c r="AA43" s="449"/>
      <c r="AB43" s="473"/>
      <c r="AC43" s="450"/>
      <c r="AD43" s="449"/>
      <c r="AE43" s="473"/>
      <c r="AF43" s="450"/>
      <c r="AG43" s="449"/>
      <c r="AH43" s="473"/>
      <c r="AI43" s="450"/>
      <c r="AJ43" s="449"/>
      <c r="AK43" s="473"/>
      <c r="AL43" s="450"/>
      <c r="AM43" s="447"/>
      <c r="AN43" s="472"/>
      <c r="AO43" s="507"/>
      <c r="AP43" s="447"/>
      <c r="AQ43" s="472"/>
      <c r="AR43" s="507"/>
    </row>
    <row r="44" spans="1:44" hidden="1" x14ac:dyDescent="0.2">
      <c r="A44" s="147" t="s">
        <v>218</v>
      </c>
      <c r="B44" s="1316"/>
      <c r="C44" s="449"/>
      <c r="D44" s="473"/>
      <c r="E44" s="450"/>
      <c r="F44" s="449"/>
      <c r="G44" s="473"/>
      <c r="H44" s="450"/>
      <c r="I44" s="449"/>
      <c r="J44" s="473"/>
      <c r="K44" s="450"/>
      <c r="L44" s="473"/>
      <c r="M44" s="473"/>
      <c r="N44" s="450"/>
      <c r="O44" s="473"/>
      <c r="P44" s="473"/>
      <c r="Q44" s="450"/>
      <c r="R44" s="449"/>
      <c r="S44" s="473"/>
      <c r="T44" s="473"/>
      <c r="U44" s="449"/>
      <c r="V44" s="473"/>
      <c r="W44" s="473"/>
      <c r="X44" s="449"/>
      <c r="Y44" s="473"/>
      <c r="Z44" s="473"/>
      <c r="AA44" s="449"/>
      <c r="AB44" s="473"/>
      <c r="AC44" s="450"/>
      <c r="AD44" s="449"/>
      <c r="AE44" s="473"/>
      <c r="AF44" s="450"/>
      <c r="AG44" s="449"/>
      <c r="AH44" s="473"/>
      <c r="AI44" s="450"/>
      <c r="AJ44" s="449"/>
      <c r="AK44" s="473"/>
      <c r="AL44" s="450"/>
      <c r="AM44" s="449"/>
      <c r="AN44" s="473"/>
      <c r="AO44" s="450"/>
      <c r="AP44" s="449"/>
      <c r="AQ44" s="473"/>
      <c r="AR44" s="450"/>
    </row>
    <row r="45" spans="1:44" hidden="1" x14ac:dyDescent="0.2">
      <c r="A45" s="147" t="s">
        <v>82</v>
      </c>
      <c r="B45" s="1317"/>
      <c r="C45" s="451"/>
      <c r="D45" s="474"/>
      <c r="E45" s="452"/>
      <c r="F45" s="451"/>
      <c r="G45" s="474"/>
      <c r="H45" s="452"/>
      <c r="I45" s="451"/>
      <c r="J45" s="474"/>
      <c r="K45" s="452"/>
      <c r="L45" s="474"/>
      <c r="M45" s="474"/>
      <c r="N45" s="452"/>
      <c r="O45" s="474"/>
      <c r="P45" s="474"/>
      <c r="Q45" s="452"/>
      <c r="R45" s="451"/>
      <c r="S45" s="474"/>
      <c r="T45" s="474"/>
      <c r="U45" s="451"/>
      <c r="V45" s="474"/>
      <c r="W45" s="474"/>
      <c r="X45" s="451"/>
      <c r="Y45" s="474"/>
      <c r="Z45" s="474"/>
      <c r="AA45" s="451"/>
      <c r="AB45" s="474"/>
      <c r="AC45" s="452"/>
      <c r="AD45" s="451"/>
      <c r="AE45" s="474"/>
      <c r="AF45" s="452"/>
      <c r="AG45" s="451"/>
      <c r="AH45" s="474"/>
      <c r="AI45" s="452"/>
      <c r="AJ45" s="451"/>
      <c r="AK45" s="474"/>
      <c r="AL45" s="452"/>
      <c r="AM45" s="451"/>
      <c r="AN45" s="474"/>
      <c r="AO45" s="452"/>
      <c r="AP45" s="451"/>
      <c r="AQ45" s="474"/>
      <c r="AR45" s="452"/>
    </row>
    <row r="46" spans="1:44" hidden="1" x14ac:dyDescent="0.2">
      <c r="A46" s="147" t="s">
        <v>217</v>
      </c>
      <c r="B46" s="1315" t="str">
        <f>IF(Zona15&lt;&gt;"",Zona15,"")</f>
        <v/>
      </c>
      <c r="C46" s="447"/>
      <c r="D46" s="472"/>
      <c r="E46" s="448"/>
      <c r="F46" s="447"/>
      <c r="G46" s="472"/>
      <c r="H46" s="448"/>
      <c r="I46" s="447"/>
      <c r="J46" s="472"/>
      <c r="K46" s="448"/>
      <c r="L46" s="447"/>
      <c r="M46" s="472"/>
      <c r="N46" s="448"/>
      <c r="O46" s="447"/>
      <c r="P46" s="472"/>
      <c r="Q46" s="448"/>
      <c r="R46" s="447"/>
      <c r="S46" s="472"/>
      <c r="T46" s="472"/>
      <c r="U46" s="447"/>
      <c r="V46" s="472"/>
      <c r="W46" s="472"/>
      <c r="X46" s="447"/>
      <c r="Y46" s="472"/>
      <c r="Z46" s="472"/>
      <c r="AA46" s="447"/>
      <c r="AB46" s="472"/>
      <c r="AC46" s="448"/>
      <c r="AD46" s="447"/>
      <c r="AE46" s="472"/>
      <c r="AF46" s="448"/>
      <c r="AG46" s="447"/>
      <c r="AH46" s="472"/>
      <c r="AI46" s="448"/>
      <c r="AJ46" s="447"/>
      <c r="AK46" s="472"/>
      <c r="AL46" s="448"/>
      <c r="AM46" s="447"/>
      <c r="AN46" s="472"/>
      <c r="AO46" s="507"/>
      <c r="AP46" s="447"/>
      <c r="AQ46" s="472"/>
      <c r="AR46" s="507"/>
    </row>
    <row r="47" spans="1:44" hidden="1" x14ac:dyDescent="0.2">
      <c r="A47" s="147" t="s">
        <v>218</v>
      </c>
      <c r="B47" s="1316"/>
      <c r="C47" s="473"/>
      <c r="D47" s="473"/>
      <c r="E47" s="450"/>
      <c r="F47" s="473"/>
      <c r="G47" s="473"/>
      <c r="H47" s="450"/>
      <c r="I47" s="473"/>
      <c r="J47" s="473"/>
      <c r="K47" s="450"/>
      <c r="L47" s="473"/>
      <c r="M47" s="473"/>
      <c r="N47" s="450"/>
      <c r="O47" s="473"/>
      <c r="P47" s="473"/>
      <c r="Q47" s="450"/>
      <c r="R47" s="473"/>
      <c r="S47" s="473"/>
      <c r="T47" s="450"/>
      <c r="U47" s="473"/>
      <c r="V47" s="473"/>
      <c r="W47" s="450"/>
      <c r="X47" s="473"/>
      <c r="Y47" s="473"/>
      <c r="Z47" s="450"/>
      <c r="AA47" s="473"/>
      <c r="AB47" s="473"/>
      <c r="AC47" s="450"/>
      <c r="AD47" s="473"/>
      <c r="AE47" s="473"/>
      <c r="AF47" s="450"/>
      <c r="AG47" s="473"/>
      <c r="AH47" s="473"/>
      <c r="AI47" s="450"/>
      <c r="AJ47" s="473"/>
      <c r="AK47" s="473"/>
      <c r="AL47" s="450"/>
      <c r="AM47" s="449"/>
      <c r="AN47" s="473"/>
      <c r="AO47" s="450"/>
      <c r="AP47" s="449"/>
      <c r="AQ47" s="473"/>
      <c r="AR47" s="450"/>
    </row>
    <row r="48" spans="1:44" ht="12.75" hidden="1" customHeight="1" x14ac:dyDescent="0.2">
      <c r="A48" s="147" t="s">
        <v>82</v>
      </c>
      <c r="B48" s="1317"/>
      <c r="C48" s="474"/>
      <c r="D48" s="474"/>
      <c r="E48" s="452"/>
      <c r="F48" s="451"/>
      <c r="G48" s="474"/>
      <c r="H48" s="452"/>
      <c r="I48" s="451"/>
      <c r="J48" s="474"/>
      <c r="K48" s="452"/>
      <c r="L48" s="451"/>
      <c r="M48" s="474"/>
      <c r="N48" s="452"/>
      <c r="O48" s="451"/>
      <c r="P48" s="474"/>
      <c r="Q48" s="452"/>
      <c r="R48" s="451"/>
      <c r="S48" s="474"/>
      <c r="T48" s="474"/>
      <c r="U48" s="451"/>
      <c r="V48" s="474"/>
      <c r="W48" s="474"/>
      <c r="X48" s="451"/>
      <c r="Y48" s="474"/>
      <c r="Z48" s="452"/>
      <c r="AA48" s="474"/>
      <c r="AB48" s="474"/>
      <c r="AC48" s="452"/>
      <c r="AD48" s="474"/>
      <c r="AE48" s="474"/>
      <c r="AF48" s="452"/>
      <c r="AG48" s="474"/>
      <c r="AH48" s="474"/>
      <c r="AI48" s="452"/>
      <c r="AJ48" s="474"/>
      <c r="AK48" s="474"/>
      <c r="AL48" s="452"/>
      <c r="AM48" s="451"/>
      <c r="AN48" s="474"/>
      <c r="AO48" s="452"/>
      <c r="AP48" s="451"/>
      <c r="AQ48" s="474"/>
      <c r="AR48" s="452"/>
    </row>
    <row r="49" spans="1:44" x14ac:dyDescent="0.2">
      <c r="A49" s="40"/>
      <c r="B49" s="48"/>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row>
    <row r="50" spans="1:44" x14ac:dyDescent="0.2">
      <c r="A50" s="40"/>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2"/>
      <c r="AD50" s="1"/>
      <c r="AE50" s="1"/>
      <c r="AF50" s="2"/>
      <c r="AG50" s="1"/>
      <c r="AH50" s="1"/>
      <c r="AI50" s="2"/>
      <c r="AJ50" s="1"/>
      <c r="AK50" s="1"/>
      <c r="AL50" s="2"/>
      <c r="AM50" s="2"/>
      <c r="AN50" s="2"/>
      <c r="AO50" s="2"/>
      <c r="AP50" s="2"/>
      <c r="AQ50" s="2"/>
      <c r="AR50" s="2"/>
    </row>
    <row r="51" spans="1:44" x14ac:dyDescent="0.2">
      <c r="A51" s="40"/>
      <c r="B51" s="1308" t="s">
        <v>210</v>
      </c>
      <c r="C51" s="1308"/>
      <c r="D51" s="1308"/>
      <c r="E51" s="1308"/>
      <c r="F51" s="1308"/>
      <c r="G51" s="1308"/>
      <c r="H51" s="1308"/>
      <c r="I51" s="1308"/>
      <c r="J51" s="1308"/>
      <c r="K51" s="1308"/>
      <c r="L51" s="679"/>
      <c r="M51" s="679"/>
      <c r="N51" s="679"/>
      <c r="O51" s="679"/>
      <c r="P51" s="679"/>
      <c r="Q51" s="679"/>
      <c r="R51" s="40"/>
      <c r="S51" s="40"/>
      <c r="T51" s="40"/>
      <c r="U51" s="40"/>
      <c r="V51" s="40"/>
      <c r="W51" s="40"/>
      <c r="X51" s="40"/>
      <c r="Y51" s="40"/>
      <c r="Z51" s="40"/>
      <c r="AA51" s="39"/>
      <c r="AB51" s="39"/>
      <c r="AC51" s="39"/>
      <c r="AD51" s="39"/>
      <c r="AE51" s="39"/>
      <c r="AF51" s="39"/>
      <c r="AG51" s="39"/>
      <c r="AH51" s="39"/>
      <c r="AI51" s="39"/>
      <c r="AJ51" s="39"/>
      <c r="AK51" s="39"/>
      <c r="AL51" s="39"/>
      <c r="AM51" s="39"/>
      <c r="AN51" s="39"/>
      <c r="AO51" s="39"/>
      <c r="AP51" s="39"/>
      <c r="AQ51" s="39"/>
      <c r="AR51" s="39"/>
    </row>
    <row r="52" spans="1:44" ht="14.25" customHeight="1" x14ac:dyDescent="0.2">
      <c r="A52" s="707" t="s">
        <v>24</v>
      </c>
      <c r="B52" s="153" t="s">
        <v>97</v>
      </c>
      <c r="C52" s="1321" t="s">
        <v>98</v>
      </c>
      <c r="D52" s="1322"/>
      <c r="E52" s="1322"/>
      <c r="F52" s="1322"/>
      <c r="G52" s="1322"/>
      <c r="H52" s="1322"/>
      <c r="I52" s="1322"/>
      <c r="J52" s="1322"/>
      <c r="K52" s="1323"/>
      <c r="L52" s="875"/>
      <c r="M52" s="51"/>
      <c r="N52" s="51"/>
      <c r="O52" s="51"/>
      <c r="P52" s="51"/>
      <c r="Q52" s="5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x14ac:dyDescent="0.2">
      <c r="A53" s="40"/>
      <c r="B53" s="162" t="s">
        <v>155</v>
      </c>
      <c r="C53" s="1285" t="s">
        <v>154</v>
      </c>
      <c r="D53" s="1286"/>
      <c r="E53" s="1286"/>
      <c r="F53" s="1286"/>
      <c r="G53" s="1286"/>
      <c r="H53" s="1286"/>
      <c r="I53" s="1286"/>
      <c r="J53" s="1286"/>
      <c r="K53" s="1287"/>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x14ac:dyDescent="0.2">
      <c r="A54" s="40"/>
      <c r="B54" s="453" t="s">
        <v>401</v>
      </c>
      <c r="C54" s="1299" t="s">
        <v>406</v>
      </c>
      <c r="D54" s="1300"/>
      <c r="E54" s="1300"/>
      <c r="F54" s="1300"/>
      <c r="G54" s="1300"/>
      <c r="H54" s="1300"/>
      <c r="I54" s="1300"/>
      <c r="J54" s="1300"/>
      <c r="K54" s="130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x14ac:dyDescent="0.2">
      <c r="A55" s="40"/>
      <c r="B55" s="453" t="s">
        <v>402</v>
      </c>
      <c r="C55" s="1299" t="s">
        <v>407</v>
      </c>
      <c r="D55" s="1300"/>
      <c r="E55" s="1300"/>
      <c r="F55" s="1300"/>
      <c r="G55" s="1300"/>
      <c r="H55" s="1300"/>
      <c r="I55" s="1300"/>
      <c r="J55" s="1300"/>
      <c r="K55" s="130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44" x14ac:dyDescent="0.2">
      <c r="A56" s="40"/>
      <c r="B56" s="453" t="s">
        <v>403</v>
      </c>
      <c r="C56" s="1299" t="s">
        <v>408</v>
      </c>
      <c r="D56" s="1300"/>
      <c r="E56" s="1300"/>
      <c r="F56" s="1300"/>
      <c r="G56" s="1300"/>
      <c r="H56" s="1300"/>
      <c r="I56" s="1300"/>
      <c r="J56" s="1300"/>
      <c r="K56" s="130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x14ac:dyDescent="0.2">
      <c r="A57" s="40"/>
      <c r="B57" s="453" t="s">
        <v>404</v>
      </c>
      <c r="C57" s="1299" t="s">
        <v>409</v>
      </c>
      <c r="D57" s="1300"/>
      <c r="E57" s="1300"/>
      <c r="F57" s="1300"/>
      <c r="G57" s="1300"/>
      <c r="H57" s="1300"/>
      <c r="I57" s="1300"/>
      <c r="J57" s="1300"/>
      <c r="K57" s="130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x14ac:dyDescent="0.2">
      <c r="A58" s="40"/>
      <c r="B58" s="453" t="s">
        <v>405</v>
      </c>
      <c r="C58" s="1299" t="s">
        <v>410</v>
      </c>
      <c r="D58" s="1300"/>
      <c r="E58" s="1300"/>
      <c r="F58" s="1300"/>
      <c r="G58" s="1300"/>
      <c r="H58" s="1300"/>
      <c r="I58" s="1300"/>
      <c r="J58" s="1300"/>
      <c r="K58" s="130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x14ac:dyDescent="0.2">
      <c r="A59" s="40"/>
      <c r="B59" s="453"/>
      <c r="C59" s="1299"/>
      <c r="D59" s="1300"/>
      <c r="E59" s="1300"/>
      <c r="F59" s="1300"/>
      <c r="G59" s="1300"/>
      <c r="H59" s="1300"/>
      <c r="I59" s="1300"/>
      <c r="J59" s="1300"/>
      <c r="K59" s="1301"/>
      <c r="R59" s="1"/>
      <c r="S59" s="1"/>
      <c r="T59" s="40"/>
      <c r="U59" s="40"/>
      <c r="V59" s="40"/>
      <c r="W59" s="40"/>
      <c r="X59" s="40"/>
      <c r="Y59" s="40"/>
      <c r="Z59" s="40"/>
      <c r="AA59" s="40"/>
      <c r="AB59" s="40"/>
      <c r="AC59" s="39"/>
      <c r="AD59" s="40"/>
      <c r="AE59" s="40"/>
      <c r="AF59" s="39"/>
      <c r="AG59" s="40"/>
      <c r="AH59" s="40"/>
      <c r="AI59" s="39"/>
      <c r="AJ59" s="40"/>
      <c r="AK59" s="40"/>
      <c r="AL59" s="39"/>
      <c r="AM59" s="39"/>
      <c r="AN59" s="39"/>
      <c r="AO59" s="39"/>
      <c r="AP59" s="39"/>
      <c r="AQ59" s="39"/>
      <c r="AR59" s="39"/>
    </row>
    <row r="60" spans="1:44" hidden="1" x14ac:dyDescent="0.2">
      <c r="A60" s="1"/>
      <c r="B60" s="453"/>
      <c r="C60" s="1299"/>
      <c r="D60" s="1300"/>
      <c r="E60" s="1300"/>
      <c r="F60" s="1300"/>
      <c r="G60" s="1300"/>
      <c r="H60" s="1300"/>
      <c r="I60" s="1300"/>
      <c r="J60" s="1300"/>
      <c r="K60" s="1301"/>
      <c r="R60" s="40"/>
      <c r="S60" s="40"/>
      <c r="T60" s="1"/>
      <c r="U60" s="1"/>
      <c r="V60" s="1"/>
      <c r="W60" s="1"/>
      <c r="X60" s="1"/>
      <c r="Y60" s="1"/>
      <c r="Z60" s="1"/>
      <c r="AA60" s="1"/>
      <c r="AB60" s="1"/>
      <c r="AC60" s="2"/>
      <c r="AD60" s="1"/>
      <c r="AE60" s="1"/>
      <c r="AF60" s="2"/>
      <c r="AG60" s="1"/>
      <c r="AH60" s="1"/>
      <c r="AI60" s="2"/>
      <c r="AJ60" s="1"/>
      <c r="AK60" s="1"/>
      <c r="AL60" s="2"/>
      <c r="AM60" s="2"/>
      <c r="AN60" s="2"/>
      <c r="AO60" s="2"/>
      <c r="AP60" s="2"/>
      <c r="AQ60" s="2"/>
      <c r="AR60" s="2"/>
    </row>
    <row r="61" spans="1:44" hidden="1" x14ac:dyDescent="0.2">
      <c r="A61" s="1"/>
      <c r="B61" s="453"/>
      <c r="C61" s="1299"/>
      <c r="D61" s="1300"/>
      <c r="E61" s="1300"/>
      <c r="F61" s="1300"/>
      <c r="G61" s="1300"/>
      <c r="H61" s="1300"/>
      <c r="I61" s="1300"/>
      <c r="J61" s="1300"/>
      <c r="K61" s="1301"/>
      <c r="R61" s="1"/>
      <c r="S61" s="1"/>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spans="1:44" hidden="1" x14ac:dyDescent="0.2">
      <c r="A62" s="1"/>
      <c r="B62" s="453"/>
      <c r="C62" s="1299"/>
      <c r="D62" s="1300"/>
      <c r="E62" s="1300"/>
      <c r="F62" s="1300"/>
      <c r="G62" s="1300"/>
      <c r="H62" s="1300"/>
      <c r="I62" s="1300"/>
      <c r="J62" s="1300"/>
      <c r="K62" s="1301"/>
      <c r="R62" s="2"/>
      <c r="S62" s="2"/>
      <c r="U62" s="2"/>
      <c r="V62" s="2"/>
      <c r="W62" s="2"/>
      <c r="X62" s="2"/>
      <c r="Y62" s="2"/>
      <c r="Z62" s="2"/>
      <c r="AA62" s="2"/>
      <c r="AB62" s="2"/>
      <c r="AC62" s="2"/>
      <c r="AD62" s="2"/>
      <c r="AE62" s="2"/>
      <c r="AF62" s="2"/>
      <c r="AG62" s="2"/>
      <c r="AH62" s="2"/>
      <c r="AI62" s="2"/>
      <c r="AJ62" s="2"/>
      <c r="AK62" s="2"/>
      <c r="AL62" s="2"/>
      <c r="AM62" s="2"/>
      <c r="AN62" s="2"/>
      <c r="AO62" s="2"/>
      <c r="AP62" s="2"/>
      <c r="AQ62" s="2"/>
      <c r="AR62" s="2"/>
    </row>
    <row r="63" spans="1:44" hidden="1" x14ac:dyDescent="0.2">
      <c r="A63" s="1"/>
      <c r="B63" s="453"/>
      <c r="C63" s="1299"/>
      <c r="D63" s="1300"/>
      <c r="E63" s="1300"/>
      <c r="F63" s="1300"/>
      <c r="G63" s="1300"/>
      <c r="H63" s="1300"/>
      <c r="I63" s="1300"/>
      <c r="J63" s="1300"/>
      <c r="K63" s="1301"/>
      <c r="R63" s="2"/>
      <c r="S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44" hidden="1" x14ac:dyDescent="0.2">
      <c r="A64" s="1"/>
      <c r="B64" s="453"/>
      <c r="C64" s="1299"/>
      <c r="D64" s="1300"/>
      <c r="E64" s="1300"/>
      <c r="F64" s="1300"/>
      <c r="G64" s="1300"/>
      <c r="H64" s="1300"/>
      <c r="I64" s="1300"/>
      <c r="J64" s="1300"/>
      <c r="K64" s="1301"/>
      <c r="R64" s="2"/>
      <c r="S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4" hidden="1" x14ac:dyDescent="0.2">
      <c r="A65" s="1"/>
      <c r="B65" s="453"/>
      <c r="C65" s="1299"/>
      <c r="D65" s="1300"/>
      <c r="E65" s="1300"/>
      <c r="F65" s="1300"/>
      <c r="G65" s="1300"/>
      <c r="H65" s="1300"/>
      <c r="I65" s="1300"/>
      <c r="J65" s="1300"/>
      <c r="K65" s="1301"/>
      <c r="R65" s="2"/>
      <c r="S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4" hidden="1" x14ac:dyDescent="0.2">
      <c r="A66" s="1"/>
      <c r="B66" s="453"/>
      <c r="C66" s="1299"/>
      <c r="D66" s="1300"/>
      <c r="E66" s="1300"/>
      <c r="F66" s="1300"/>
      <c r="G66" s="1300"/>
      <c r="H66" s="1300"/>
      <c r="I66" s="1300"/>
      <c r="J66" s="1300"/>
      <c r="K66" s="1301"/>
      <c r="R66" s="2"/>
      <c r="S66" s="2"/>
      <c r="U66" s="2"/>
      <c r="V66" s="2"/>
      <c r="W66" s="2"/>
      <c r="X66" s="2"/>
      <c r="Y66" s="2"/>
      <c r="Z66" s="2"/>
      <c r="AA66" s="2"/>
      <c r="AB66" s="2"/>
      <c r="AC66" s="2"/>
      <c r="AD66" s="2"/>
      <c r="AE66" s="2"/>
      <c r="AF66" s="2"/>
      <c r="AG66" s="2"/>
      <c r="AH66" s="2"/>
      <c r="AI66" s="2"/>
      <c r="AJ66" s="2"/>
      <c r="AK66" s="2"/>
      <c r="AL66" s="2"/>
      <c r="AM66" s="2"/>
      <c r="AN66" s="2"/>
      <c r="AO66" s="2"/>
      <c r="AP66" s="2"/>
      <c r="AQ66" s="2"/>
      <c r="AR66" s="2"/>
    </row>
    <row r="67" spans="1:44" hidden="1" x14ac:dyDescent="0.2">
      <c r="A67" s="1"/>
      <c r="B67" s="453"/>
      <c r="C67" s="1299"/>
      <c r="D67" s="1300"/>
      <c r="E67" s="1300"/>
      <c r="F67" s="1300"/>
      <c r="G67" s="1300"/>
      <c r="H67" s="1300"/>
      <c r="I67" s="1300"/>
      <c r="J67" s="1300"/>
      <c r="K67" s="1301"/>
      <c r="R67" s="2"/>
      <c r="S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1:44" hidden="1" x14ac:dyDescent="0.2">
      <c r="A68" s="1"/>
      <c r="B68" s="454"/>
      <c r="C68" s="1327"/>
      <c r="D68" s="1328"/>
      <c r="E68" s="1328"/>
      <c r="F68" s="1328"/>
      <c r="G68" s="1328"/>
      <c r="H68" s="1328"/>
      <c r="I68" s="1328"/>
      <c r="J68" s="1328"/>
      <c r="K68" s="1329"/>
      <c r="R68" s="2"/>
      <c r="S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1:44" x14ac:dyDescent="0.2">
      <c r="A69" s="1"/>
      <c r="B69" s="2"/>
      <c r="C69" s="2"/>
      <c r="D69" s="2"/>
      <c r="E69" s="2"/>
      <c r="F69" s="2"/>
      <c r="G69" s="2"/>
      <c r="H69" s="2"/>
      <c r="I69" s="1"/>
      <c r="J69" s="1"/>
      <c r="K69" s="1"/>
      <c r="R69" s="1"/>
      <c r="S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1:44" x14ac:dyDescent="0.2">
      <c r="A70" s="1"/>
      <c r="B70" s="1308" t="s">
        <v>211</v>
      </c>
      <c r="C70" s="1308"/>
      <c r="D70" s="1308"/>
      <c r="E70" s="1308"/>
      <c r="F70" s="1308"/>
      <c r="G70" s="1308"/>
      <c r="H70" s="1308"/>
      <c r="I70" s="1308"/>
      <c r="J70" s="1308"/>
      <c r="K70" s="1308"/>
      <c r="L70" s="679"/>
      <c r="M70" s="679"/>
      <c r="N70" s="679"/>
      <c r="O70" s="679"/>
      <c r="P70" s="679"/>
      <c r="Q70" s="679"/>
      <c r="R70" s="1"/>
      <c r="S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1:44" ht="15.75" customHeight="1" x14ac:dyDescent="0.2">
      <c r="A71" s="707" t="s">
        <v>24</v>
      </c>
      <c r="B71" s="153" t="s">
        <v>97</v>
      </c>
      <c r="C71" s="1321" t="s">
        <v>98</v>
      </c>
      <c r="D71" s="1322"/>
      <c r="E71" s="1322"/>
      <c r="F71" s="1322"/>
      <c r="G71" s="1322"/>
      <c r="H71" s="1322"/>
      <c r="I71" s="1322"/>
      <c r="J71" s="1322"/>
      <c r="K71" s="1323"/>
      <c r="L71" s="875"/>
      <c r="M71" s="51"/>
      <c r="N71" s="51"/>
      <c r="O71" s="51"/>
      <c r="P71" s="51"/>
      <c r="Q71" s="51"/>
      <c r="R71" s="1"/>
      <c r="S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1:44" ht="12.75" customHeight="1" x14ac:dyDescent="0.2">
      <c r="A72" s="1"/>
      <c r="B72" s="162">
        <v>1</v>
      </c>
      <c r="C72" s="1324" t="s">
        <v>1</v>
      </c>
      <c r="D72" s="1325"/>
      <c r="E72" s="1325"/>
      <c r="F72" s="1325"/>
      <c r="G72" s="1325"/>
      <c r="H72" s="1325"/>
      <c r="I72" s="1325"/>
      <c r="J72" s="1325"/>
      <c r="K72" s="1326"/>
      <c r="R72" s="1"/>
      <c r="S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1:44" ht="12.75" customHeight="1" x14ac:dyDescent="0.2">
      <c r="A73" s="1"/>
      <c r="B73" s="162">
        <v>2</v>
      </c>
      <c r="C73" s="1291" t="s">
        <v>118</v>
      </c>
      <c r="D73" s="1292"/>
      <c r="E73" s="1292"/>
      <c r="F73" s="1292"/>
      <c r="G73" s="1292"/>
      <c r="H73" s="1292"/>
      <c r="I73" s="1292"/>
      <c r="J73" s="1292"/>
      <c r="K73" s="1293"/>
      <c r="R73" s="1"/>
      <c r="S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1:44" ht="12.75" customHeight="1" x14ac:dyDescent="0.2">
      <c r="A74" s="1"/>
      <c r="B74" s="162">
        <v>3</v>
      </c>
      <c r="C74" s="1291" t="s">
        <v>119</v>
      </c>
      <c r="D74" s="1292"/>
      <c r="E74" s="1292"/>
      <c r="F74" s="1292"/>
      <c r="G74" s="1292"/>
      <c r="H74" s="1292"/>
      <c r="I74" s="1292"/>
      <c r="J74" s="1292"/>
      <c r="K74" s="1293"/>
      <c r="R74" s="1"/>
      <c r="S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1:44" ht="12.75" customHeight="1" x14ac:dyDescent="0.2">
      <c r="A75" s="1"/>
      <c r="B75" s="162">
        <v>4</v>
      </c>
      <c r="C75" s="1291" t="s">
        <v>222</v>
      </c>
      <c r="D75" s="1292"/>
      <c r="E75" s="1292"/>
      <c r="F75" s="1292"/>
      <c r="G75" s="1292"/>
      <c r="H75" s="1292"/>
      <c r="I75" s="1292"/>
      <c r="J75" s="1292"/>
      <c r="K75" s="1293"/>
      <c r="R75" s="1"/>
      <c r="S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1:44" ht="12.75" customHeight="1" x14ac:dyDescent="0.2">
      <c r="A76" s="1"/>
      <c r="B76" s="162">
        <v>5</v>
      </c>
      <c r="C76" s="1291" t="s">
        <v>101</v>
      </c>
      <c r="D76" s="1292"/>
      <c r="E76" s="1292"/>
      <c r="F76" s="1292"/>
      <c r="G76" s="1292"/>
      <c r="H76" s="1292"/>
      <c r="I76" s="1292"/>
      <c r="J76" s="1292"/>
      <c r="K76" s="1293"/>
      <c r="R76" s="1"/>
      <c r="S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1:44" ht="12.75" customHeight="1" x14ac:dyDescent="0.2">
      <c r="A77" s="1"/>
      <c r="B77" s="162">
        <v>6</v>
      </c>
      <c r="C77" s="1291" t="s">
        <v>90</v>
      </c>
      <c r="D77" s="1292"/>
      <c r="E77" s="1292"/>
      <c r="F77" s="1292"/>
      <c r="G77" s="1292"/>
      <c r="H77" s="1292"/>
      <c r="I77" s="1292"/>
      <c r="J77" s="1292"/>
      <c r="K77" s="1293"/>
      <c r="R77" s="1"/>
      <c r="S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1:44" ht="12.75" customHeight="1" x14ac:dyDescent="0.2">
      <c r="A78" s="1"/>
      <c r="B78" s="162">
        <v>7</v>
      </c>
      <c r="C78" s="1291" t="s">
        <v>88</v>
      </c>
      <c r="D78" s="1292"/>
      <c r="E78" s="1292"/>
      <c r="F78" s="1292"/>
      <c r="G78" s="1292"/>
      <c r="H78" s="1292"/>
      <c r="I78" s="1292"/>
      <c r="J78" s="1292"/>
      <c r="K78" s="1293"/>
      <c r="R78" s="1"/>
      <c r="S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1:44" ht="12.75" customHeight="1" x14ac:dyDescent="0.2">
      <c r="A79" s="1"/>
      <c r="B79" s="162">
        <v>8</v>
      </c>
      <c r="C79" s="1291" t="s">
        <v>89</v>
      </c>
      <c r="D79" s="1292"/>
      <c r="E79" s="1292"/>
      <c r="F79" s="1292"/>
      <c r="G79" s="1292"/>
      <c r="H79" s="1292"/>
      <c r="I79" s="1292"/>
      <c r="J79" s="1292"/>
      <c r="K79" s="1293"/>
      <c r="R79" s="1"/>
      <c r="S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1:44" ht="12.75" customHeight="1" x14ac:dyDescent="0.2">
      <c r="A80" s="1"/>
      <c r="B80" s="162">
        <v>9</v>
      </c>
      <c r="C80" s="1291" t="s">
        <v>264</v>
      </c>
      <c r="D80" s="1292"/>
      <c r="E80" s="1292"/>
      <c r="F80" s="1292"/>
      <c r="G80" s="1292"/>
      <c r="H80" s="1292"/>
      <c r="I80" s="1292"/>
      <c r="J80" s="1292"/>
      <c r="K80" s="1293"/>
      <c r="R80" s="1"/>
      <c r="S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1:44" ht="12.75" customHeight="1" x14ac:dyDescent="0.2">
      <c r="A81" s="1"/>
      <c r="B81" s="162">
        <v>10</v>
      </c>
      <c r="C81" s="1291" t="s">
        <v>265</v>
      </c>
      <c r="D81" s="1292"/>
      <c r="E81" s="1292"/>
      <c r="F81" s="1292"/>
      <c r="G81" s="1292"/>
      <c r="H81" s="1292"/>
      <c r="I81" s="1292"/>
      <c r="J81" s="1292"/>
      <c r="K81" s="1293"/>
      <c r="R81" s="1"/>
      <c r="S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1:44" ht="12.75" customHeight="1" x14ac:dyDescent="0.2">
      <c r="A82" s="1"/>
      <c r="B82" s="162">
        <v>11</v>
      </c>
      <c r="C82" s="1291" t="s">
        <v>266</v>
      </c>
      <c r="D82" s="1292"/>
      <c r="E82" s="1292"/>
      <c r="F82" s="1292"/>
      <c r="G82" s="1292"/>
      <c r="H82" s="1292"/>
      <c r="I82" s="1292"/>
      <c r="J82" s="1292"/>
      <c r="K82" s="1293"/>
      <c r="R82" s="1"/>
      <c r="S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1:44" ht="12.75" customHeight="1" x14ac:dyDescent="0.2">
      <c r="A83" s="1"/>
      <c r="B83" s="162">
        <v>12</v>
      </c>
      <c r="C83" s="1291" t="s">
        <v>267</v>
      </c>
      <c r="D83" s="1292"/>
      <c r="E83" s="1292"/>
      <c r="F83" s="1292"/>
      <c r="G83" s="1292"/>
      <c r="H83" s="1292"/>
      <c r="I83" s="1292"/>
      <c r="J83" s="1292"/>
      <c r="K83" s="1293"/>
      <c r="R83" s="1"/>
      <c r="S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1:44" ht="12.75" customHeight="1" x14ac:dyDescent="0.2">
      <c r="A84" s="1"/>
      <c r="B84" s="163">
        <v>13</v>
      </c>
      <c r="C84" s="1330" t="s">
        <v>268</v>
      </c>
      <c r="D84" s="1331"/>
      <c r="E84" s="1331"/>
      <c r="F84" s="1331"/>
      <c r="G84" s="1331"/>
      <c r="H84" s="1331"/>
      <c r="I84" s="1331"/>
      <c r="J84" s="1331"/>
      <c r="K84" s="1332"/>
      <c r="R84" s="1"/>
      <c r="S84" s="1"/>
      <c r="U84" s="1"/>
      <c r="V84" s="1"/>
      <c r="W84" s="1"/>
      <c r="X84" s="1"/>
      <c r="Y84" s="1"/>
      <c r="Z84" s="1"/>
      <c r="AA84" s="1"/>
      <c r="AB84" s="1"/>
      <c r="AC84" s="1"/>
      <c r="AD84" s="1"/>
      <c r="AE84" s="1"/>
      <c r="AF84" s="1"/>
      <c r="AG84" s="1"/>
      <c r="AH84" s="1"/>
      <c r="AI84" s="1"/>
      <c r="AJ84" s="1"/>
      <c r="AK84" s="1"/>
      <c r="AL84" s="1"/>
      <c r="AM84" s="1"/>
      <c r="AN84" s="1"/>
      <c r="AO84" s="1"/>
      <c r="AP84" s="1"/>
      <c r="AQ84" s="1"/>
      <c r="AR84" s="1"/>
    </row>
    <row r="85" spans="1:44" x14ac:dyDescent="0.2">
      <c r="A85" s="1"/>
      <c r="B85" s="2"/>
      <c r="C85" s="2"/>
      <c r="D85" s="2"/>
      <c r="E85" s="2"/>
      <c r="F85" s="2"/>
      <c r="G85" s="2"/>
      <c r="H85" s="2"/>
      <c r="I85" s="1"/>
      <c r="J85" s="1"/>
      <c r="K85" s="1"/>
      <c r="L85" s="1"/>
      <c r="M85" s="1"/>
      <c r="N85" s="1"/>
      <c r="O85" s="1"/>
      <c r="P85" s="1"/>
      <c r="Q85" s="1"/>
      <c r="R85" s="1"/>
      <c r="S85" s="1"/>
      <c r="U85" s="1"/>
      <c r="V85" s="1"/>
      <c r="W85" s="1"/>
      <c r="X85" s="1"/>
      <c r="Y85" s="1"/>
      <c r="Z85" s="1"/>
      <c r="AA85" s="1"/>
      <c r="AB85" s="1"/>
      <c r="AC85" s="1"/>
      <c r="AD85" s="1"/>
      <c r="AE85" s="1"/>
      <c r="AF85" s="1"/>
      <c r="AG85" s="1"/>
      <c r="AH85" s="1"/>
      <c r="AI85" s="1"/>
      <c r="AJ85" s="1"/>
      <c r="AK85" s="1"/>
      <c r="AL85" s="1"/>
      <c r="AM85" s="1"/>
      <c r="AN85" s="1"/>
      <c r="AO85" s="1"/>
      <c r="AP85" s="1"/>
      <c r="AQ85" s="1"/>
      <c r="AR85" s="1"/>
    </row>
    <row r="86" spans="1:44" x14ac:dyDescent="0.2">
      <c r="A86" s="1"/>
      <c r="B86" s="1307" t="s">
        <v>213</v>
      </c>
      <c r="C86" s="1307"/>
      <c r="D86" s="1307"/>
      <c r="E86" s="1307"/>
      <c r="F86" s="1307"/>
      <c r="G86" s="1307"/>
      <c r="H86" s="1307"/>
      <c r="I86" s="1307"/>
      <c r="J86" s="1307"/>
      <c r="K86" s="1307"/>
      <c r="L86" s="1307"/>
      <c r="M86" s="1307"/>
      <c r="N86" s="1307"/>
      <c r="O86" s="1307"/>
      <c r="P86" s="1307"/>
      <c r="Q86" s="1307"/>
      <c r="W86" s="1"/>
      <c r="X86" s="1"/>
      <c r="Y86" s="1"/>
      <c r="Z86" s="1"/>
      <c r="AA86" s="1"/>
      <c r="AB86" s="1"/>
      <c r="AC86" s="1"/>
      <c r="AD86" s="1"/>
      <c r="AE86" s="1"/>
      <c r="AF86" s="1"/>
      <c r="AG86" s="1"/>
      <c r="AH86" s="1"/>
      <c r="AI86" s="1"/>
      <c r="AJ86" s="1"/>
      <c r="AK86" s="1"/>
      <c r="AL86" s="1"/>
      <c r="AM86" s="1"/>
      <c r="AN86" s="1"/>
      <c r="AO86" s="1"/>
      <c r="AP86" s="1"/>
      <c r="AQ86" s="1"/>
      <c r="AR86" s="1"/>
    </row>
    <row r="87" spans="1:44" ht="24.95" customHeight="1" x14ac:dyDescent="0.2">
      <c r="A87" s="707"/>
      <c r="B87" s="154" t="s">
        <v>97</v>
      </c>
      <c r="C87" s="1270" t="s">
        <v>98</v>
      </c>
      <c r="D87" s="1275"/>
      <c r="E87" s="1271"/>
      <c r="F87" s="708" t="s">
        <v>388</v>
      </c>
      <c r="G87" s="839"/>
      <c r="H87" s="2"/>
      <c r="L87" s="560" t="s">
        <v>245</v>
      </c>
      <c r="M87" s="845"/>
      <c r="W87" s="1"/>
      <c r="X87" s="1"/>
      <c r="Y87" s="1"/>
      <c r="Z87" s="1"/>
      <c r="AA87" s="1"/>
      <c r="AB87" s="1"/>
      <c r="AC87" s="1"/>
      <c r="AD87" s="1"/>
      <c r="AE87" s="1"/>
      <c r="AF87" s="1"/>
      <c r="AG87" s="1"/>
      <c r="AH87" s="1"/>
      <c r="AI87" s="1"/>
      <c r="AJ87" s="1"/>
      <c r="AK87" s="1"/>
      <c r="AL87" s="1"/>
      <c r="AM87" s="1"/>
      <c r="AN87" s="1"/>
      <c r="AO87" s="1"/>
      <c r="AP87" s="1"/>
      <c r="AQ87" s="1"/>
      <c r="AR87" s="1"/>
    </row>
    <row r="88" spans="1:44" ht="12.75" customHeight="1" x14ac:dyDescent="0.2">
      <c r="A88" s="1"/>
      <c r="B88" s="164" t="s">
        <v>155</v>
      </c>
      <c r="C88" s="1296" t="s">
        <v>183</v>
      </c>
      <c r="D88" s="1297"/>
      <c r="E88" s="1298"/>
      <c r="F88" s="165"/>
      <c r="G88" s="841"/>
      <c r="H88" s="2"/>
      <c r="L88" s="560" t="s">
        <v>57</v>
      </c>
      <c r="M88" s="845"/>
      <c r="W88" s="1"/>
      <c r="X88" s="1"/>
      <c r="Y88" s="1"/>
      <c r="Z88" s="1"/>
      <c r="AA88" s="1"/>
      <c r="AB88" s="1"/>
      <c r="AC88" s="1"/>
      <c r="AD88" s="1"/>
      <c r="AE88" s="1"/>
      <c r="AF88" s="1"/>
      <c r="AG88" s="1"/>
      <c r="AH88" s="1"/>
      <c r="AI88" s="1"/>
      <c r="AJ88" s="1"/>
      <c r="AK88" s="1"/>
      <c r="AL88" s="1"/>
      <c r="AM88" s="1"/>
      <c r="AN88" s="1"/>
      <c r="AO88" s="1"/>
      <c r="AP88" s="1"/>
      <c r="AQ88" s="1"/>
      <c r="AR88" s="1"/>
    </row>
    <row r="89" spans="1:44" ht="12.75" customHeight="1" x14ac:dyDescent="0.2">
      <c r="A89" s="1"/>
      <c r="B89" s="632">
        <v>1</v>
      </c>
      <c r="C89" s="1278" t="s">
        <v>212</v>
      </c>
      <c r="D89" s="1279"/>
      <c r="E89" s="1280"/>
      <c r="F89" s="455">
        <v>106</v>
      </c>
      <c r="G89" s="846"/>
      <c r="H89" s="2"/>
      <c r="L89" s="560" t="s">
        <v>239</v>
      </c>
      <c r="M89" s="845"/>
      <c r="W89" s="1"/>
      <c r="X89" s="1"/>
      <c r="Y89" s="1"/>
      <c r="Z89" s="1"/>
      <c r="AA89" s="1"/>
      <c r="AB89" s="1"/>
      <c r="AC89" s="1"/>
      <c r="AD89" s="1"/>
      <c r="AE89" s="1"/>
      <c r="AF89" s="1"/>
      <c r="AG89" s="1"/>
      <c r="AH89" s="1"/>
      <c r="AI89" s="1"/>
      <c r="AJ89" s="1"/>
      <c r="AK89" s="1"/>
      <c r="AL89" s="1"/>
      <c r="AM89" s="1"/>
      <c r="AN89" s="1"/>
      <c r="AO89" s="1"/>
      <c r="AP89" s="1"/>
      <c r="AQ89" s="1"/>
      <c r="AR89" s="1"/>
    </row>
    <row r="90" spans="1:44" x14ac:dyDescent="0.2">
      <c r="A90" s="1"/>
      <c r="B90" s="632"/>
      <c r="C90" s="1281"/>
      <c r="D90" s="1282"/>
      <c r="E90" s="1284"/>
      <c r="F90" s="455">
        <v>0</v>
      </c>
      <c r="G90" s="846"/>
      <c r="H90" s="2"/>
      <c r="L90" s="51"/>
      <c r="M90" s="51"/>
      <c r="W90" s="1"/>
      <c r="X90" s="1"/>
      <c r="Y90" s="1"/>
      <c r="Z90" s="1"/>
      <c r="AA90" s="1"/>
      <c r="AB90" s="1"/>
      <c r="AC90" s="1"/>
      <c r="AD90" s="1"/>
      <c r="AE90" s="1"/>
      <c r="AF90" s="1"/>
      <c r="AG90" s="1"/>
      <c r="AH90" s="1"/>
      <c r="AI90" s="1"/>
      <c r="AJ90" s="1"/>
      <c r="AK90" s="1"/>
      <c r="AL90" s="1"/>
      <c r="AM90" s="1"/>
      <c r="AN90" s="1"/>
      <c r="AO90" s="1"/>
      <c r="AP90" s="1"/>
      <c r="AQ90" s="1"/>
      <c r="AR90" s="1"/>
    </row>
    <row r="91" spans="1:44" x14ac:dyDescent="0.2">
      <c r="A91" s="1"/>
      <c r="B91" s="632"/>
      <c r="C91" s="1281"/>
      <c r="D91" s="1282"/>
      <c r="E91" s="1283"/>
      <c r="F91" s="455">
        <v>0</v>
      </c>
      <c r="G91" s="846"/>
      <c r="H91" s="2"/>
      <c r="L91" s="51"/>
      <c r="M91" s="51"/>
      <c r="W91" s="1"/>
      <c r="X91" s="1"/>
      <c r="Y91" s="1"/>
      <c r="Z91" s="1"/>
      <c r="AA91" s="1"/>
      <c r="AB91" s="1"/>
      <c r="AC91" s="1"/>
      <c r="AD91" s="1"/>
      <c r="AE91" s="1"/>
      <c r="AF91" s="1"/>
      <c r="AG91" s="1"/>
      <c r="AH91" s="1"/>
      <c r="AI91" s="1"/>
      <c r="AJ91" s="1"/>
      <c r="AK91" s="1"/>
      <c r="AL91" s="1"/>
      <c r="AM91" s="1"/>
      <c r="AN91" s="1"/>
      <c r="AO91" s="1"/>
      <c r="AP91" s="1"/>
      <c r="AQ91" s="1"/>
      <c r="AR91" s="1"/>
    </row>
    <row r="92" spans="1:44" x14ac:dyDescent="0.2">
      <c r="A92" s="1"/>
      <c r="B92" s="633"/>
      <c r="C92" s="1272"/>
      <c r="D92" s="1273"/>
      <c r="E92" s="1274"/>
      <c r="F92" s="456">
        <v>0</v>
      </c>
      <c r="G92" s="846"/>
      <c r="H92" s="2"/>
      <c r="W92" s="1"/>
      <c r="X92" s="1"/>
      <c r="Y92" s="1"/>
      <c r="Z92" s="1"/>
      <c r="AA92" s="1"/>
      <c r="AB92" s="1"/>
      <c r="AC92" s="1"/>
      <c r="AD92" s="1"/>
      <c r="AE92" s="1"/>
      <c r="AF92" s="1"/>
      <c r="AG92" s="1"/>
      <c r="AH92" s="1"/>
      <c r="AI92" s="1"/>
      <c r="AJ92" s="1"/>
      <c r="AK92" s="1"/>
      <c r="AL92" s="1"/>
      <c r="AM92" s="1"/>
      <c r="AN92" s="1"/>
      <c r="AO92" s="1"/>
      <c r="AP92" s="1"/>
      <c r="AQ92" s="1"/>
      <c r="AR92" s="1"/>
    </row>
    <row r="93" spans="1:44" x14ac:dyDescent="0.2">
      <c r="A93" s="1"/>
      <c r="B93" s="2"/>
      <c r="C93" s="2"/>
      <c r="D93" s="2"/>
      <c r="E93" s="2"/>
      <c r="F93" s="2"/>
      <c r="G93" s="2"/>
      <c r="H93" s="2"/>
      <c r="I93" s="1"/>
      <c r="J93" s="1"/>
      <c r="W93" s="1"/>
      <c r="X93" s="1"/>
      <c r="Y93" s="1"/>
      <c r="Z93" s="1"/>
      <c r="AA93" s="1"/>
      <c r="AB93" s="1"/>
      <c r="AC93" s="1"/>
      <c r="AD93" s="1"/>
      <c r="AE93" s="1"/>
      <c r="AF93" s="1"/>
      <c r="AG93" s="1"/>
      <c r="AH93" s="1"/>
      <c r="AI93" s="1"/>
      <c r="AJ93" s="1"/>
      <c r="AK93" s="1"/>
      <c r="AL93" s="1"/>
      <c r="AM93" s="1"/>
      <c r="AN93" s="1"/>
      <c r="AO93" s="1"/>
      <c r="AP93" s="1"/>
      <c r="AQ93" s="1"/>
      <c r="AR93" s="1"/>
    </row>
    <row r="94" spans="1:44" x14ac:dyDescent="0.2">
      <c r="A94" s="1"/>
      <c r="B94" s="1307" t="s">
        <v>214</v>
      </c>
      <c r="C94" s="1307"/>
      <c r="D94" s="1307"/>
      <c r="E94" s="1307"/>
      <c r="F94" s="1307"/>
      <c r="G94" s="1307"/>
      <c r="H94" s="1307"/>
      <c r="I94" s="679"/>
      <c r="J94" s="679"/>
      <c r="K94" s="679"/>
      <c r="L94" s="679"/>
      <c r="M94" s="679"/>
      <c r="N94" s="679"/>
      <c r="O94" s="679"/>
      <c r="P94" s="679"/>
      <c r="Q94" s="679"/>
      <c r="W94" s="1"/>
      <c r="X94" s="1"/>
      <c r="Y94" s="1"/>
      <c r="Z94" s="1"/>
      <c r="AA94" s="1"/>
      <c r="AB94" s="1"/>
      <c r="AC94" s="1"/>
      <c r="AD94" s="1"/>
      <c r="AE94" s="1"/>
      <c r="AF94" s="1"/>
      <c r="AG94" s="1"/>
      <c r="AH94" s="1"/>
      <c r="AI94" s="1"/>
      <c r="AJ94" s="1"/>
      <c r="AK94" s="1"/>
      <c r="AL94" s="1"/>
      <c r="AM94" s="1"/>
      <c r="AN94" s="1"/>
      <c r="AO94" s="1"/>
      <c r="AP94" s="1"/>
      <c r="AQ94" s="1"/>
      <c r="AR94" s="1"/>
    </row>
    <row r="95" spans="1:44" ht="24.95" customHeight="1" x14ac:dyDescent="0.2">
      <c r="A95" s="707"/>
      <c r="B95" s="154" t="s">
        <v>97</v>
      </c>
      <c r="C95" s="1270" t="s">
        <v>98</v>
      </c>
      <c r="D95" s="1275"/>
      <c r="E95" s="1271"/>
      <c r="F95" s="708" t="s">
        <v>388</v>
      </c>
      <c r="G95" s="839"/>
      <c r="H95" s="2"/>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spans="1:44" ht="12.75" customHeight="1" x14ac:dyDescent="0.2">
      <c r="A96" s="1"/>
      <c r="B96" s="164" t="s">
        <v>155</v>
      </c>
      <c r="C96" s="1285" t="s">
        <v>183</v>
      </c>
      <c r="D96" s="1286"/>
      <c r="E96" s="1287"/>
      <c r="F96" s="165"/>
      <c r="G96" s="841"/>
      <c r="H96" s="2"/>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spans="1:44" ht="12.75" customHeight="1" x14ac:dyDescent="0.2">
      <c r="A97" s="1"/>
      <c r="B97" s="883" t="s">
        <v>411</v>
      </c>
      <c r="C97" s="1299" t="s">
        <v>411</v>
      </c>
      <c r="D97" s="1300"/>
      <c r="E97" s="1301"/>
      <c r="F97" s="455">
        <v>5355.99</v>
      </c>
      <c r="G97" s="846"/>
      <c r="H97" s="2"/>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row>
    <row r="98" spans="1:44" x14ac:dyDescent="0.2">
      <c r="A98" s="1"/>
      <c r="B98" s="883" t="s">
        <v>412</v>
      </c>
      <c r="C98" s="1291" t="s">
        <v>412</v>
      </c>
      <c r="D98" s="1292"/>
      <c r="E98" s="1293"/>
      <c r="F98" s="455">
        <v>590.01</v>
      </c>
      <c r="G98" s="846"/>
      <c r="H98" s="2"/>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row>
    <row r="99" spans="1:44" x14ac:dyDescent="0.2">
      <c r="A99" s="1"/>
      <c r="B99" s="632"/>
      <c r="C99" s="1291"/>
      <c r="D99" s="1292"/>
      <c r="E99" s="1293"/>
      <c r="F99" s="455">
        <v>0</v>
      </c>
      <c r="G99" s="846"/>
      <c r="H99" s="2"/>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row>
    <row r="100" spans="1:44" x14ac:dyDescent="0.2">
      <c r="A100" s="1"/>
      <c r="B100" s="633"/>
      <c r="C100" s="1288"/>
      <c r="D100" s="1289"/>
      <c r="E100" s="1290"/>
      <c r="F100" s="456">
        <v>0</v>
      </c>
      <c r="G100" s="846"/>
      <c r="H100" s="2"/>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row>
    <row r="101" spans="1:44" x14ac:dyDescent="0.2">
      <c r="A101" s="1"/>
      <c r="B101" s="2"/>
      <c r="C101" s="2"/>
      <c r="D101" s="2"/>
      <c r="E101" s="2"/>
      <c r="F101" s="2"/>
      <c r="G101" s="2"/>
      <c r="H101" s="2"/>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39.950000000000003" customHeight="1" x14ac:dyDescent="0.2">
      <c r="A102" s="1"/>
      <c r="B102" s="1270" t="s">
        <v>215</v>
      </c>
      <c r="C102" s="1271"/>
      <c r="D102" s="839"/>
      <c r="E102" s="1"/>
      <c r="F102" s="2"/>
      <c r="G102" s="2"/>
      <c r="H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row r="103" spans="1:44" ht="24" customHeight="1" x14ac:dyDescent="0.2">
      <c r="A103" s="656" t="s">
        <v>361</v>
      </c>
      <c r="B103" s="1294">
        <v>416.43</v>
      </c>
      <c r="C103" s="1295"/>
      <c r="D103" s="847"/>
      <c r="E103" s="1"/>
      <c r="F103" s="2"/>
      <c r="G103" s="2"/>
      <c r="H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row>
    <row r="104" spans="1:44" ht="24" customHeight="1" x14ac:dyDescent="0.2">
      <c r="A104" s="656" t="s">
        <v>362</v>
      </c>
      <c r="B104" s="1294">
        <v>416.43</v>
      </c>
      <c r="C104" s="1295"/>
      <c r="D104" s="847"/>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ht="24" customHeight="1" x14ac:dyDescent="0.2">
      <c r="A105" s="657" t="s">
        <v>363</v>
      </c>
      <c r="B105" s="1294">
        <v>416.43</v>
      </c>
      <c r="C105" s="1295"/>
      <c r="D105" s="847"/>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row>
    <row r="106" spans="1:44" x14ac:dyDescent="0.2">
      <c r="A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row>
    <row r="107" spans="1:44" ht="39.950000000000003" customHeight="1" x14ac:dyDescent="0.2">
      <c r="A107" s="1"/>
      <c r="B107" s="1270" t="s">
        <v>378</v>
      </c>
      <c r="C107" s="1271"/>
      <c r="D107" s="839"/>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row>
    <row r="108" spans="1:44" ht="25.5" x14ac:dyDescent="0.2">
      <c r="A108" s="1"/>
      <c r="B108" s="153" t="s">
        <v>249</v>
      </c>
      <c r="C108" s="153" t="s">
        <v>250</v>
      </c>
      <c r="D108" s="840"/>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row>
    <row r="109" spans="1:44" x14ac:dyDescent="0.2">
      <c r="A109" s="1"/>
      <c r="B109" s="457">
        <v>0.1</v>
      </c>
      <c r="C109" s="457">
        <v>0.1</v>
      </c>
      <c r="D109" s="630"/>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row>
    <row r="110" spans="1:44" x14ac:dyDescent="0.2">
      <c r="A110" s="40"/>
      <c r="B110" s="46"/>
      <c r="C110" s="2"/>
      <c r="D110" s="2"/>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row>
    <row r="111" spans="1:44" ht="50.1" customHeight="1" x14ac:dyDescent="0.2">
      <c r="A111" s="707" t="s">
        <v>24</v>
      </c>
      <c r="B111" s="1270" t="s">
        <v>216</v>
      </c>
      <c r="C111" s="1271"/>
      <c r="D111" s="839"/>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row>
    <row r="112" spans="1:44" ht="24.95" customHeight="1" x14ac:dyDescent="0.2">
      <c r="A112" s="1"/>
      <c r="B112" s="153" t="s">
        <v>219</v>
      </c>
      <c r="C112" s="153" t="s">
        <v>220</v>
      </c>
      <c r="D112" s="840"/>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row>
    <row r="113" spans="1:44" x14ac:dyDescent="0.2">
      <c r="A113" s="1"/>
      <c r="B113" s="457">
        <v>0</v>
      </c>
      <c r="C113" s="457">
        <v>0</v>
      </c>
      <c r="D113" s="630"/>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row>
    <row r="114" spans="1:44" x14ac:dyDescent="0.2">
      <c r="A114" s="1"/>
      <c r="B114" s="50"/>
      <c r="C114" s="1"/>
      <c r="D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row>
    <row r="115" spans="1:44" ht="24.95" customHeight="1" x14ac:dyDescent="0.2">
      <c r="A115" s="1"/>
      <c r="B115" s="1270" t="s">
        <v>221</v>
      </c>
      <c r="C115" s="1271"/>
      <c r="D115" s="839"/>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row>
    <row r="116" spans="1:44" ht="24.95" customHeight="1" x14ac:dyDescent="0.2">
      <c r="B116" s="153" t="s">
        <v>219</v>
      </c>
      <c r="C116" s="153" t="s">
        <v>220</v>
      </c>
      <c r="D116" s="840"/>
      <c r="E116" s="37"/>
      <c r="F116" s="1"/>
      <c r="G116" s="1"/>
      <c r="H116" s="1"/>
    </row>
    <row r="117" spans="1:44" x14ac:dyDescent="0.2">
      <c r="B117" s="457">
        <v>0</v>
      </c>
      <c r="C117" s="457">
        <v>0</v>
      </c>
      <c r="D117" s="630"/>
      <c r="E117" s="37"/>
      <c r="F117" s="1"/>
      <c r="G117" s="1"/>
      <c r="H117" s="1"/>
    </row>
    <row r="118" spans="1:44" ht="12.75" customHeight="1" x14ac:dyDescent="0.2">
      <c r="B118" s="1"/>
      <c r="C118" s="1"/>
      <c r="D118" s="1"/>
      <c r="E118" s="37"/>
      <c r="F118" s="1"/>
      <c r="G118" s="1"/>
      <c r="H118" s="1"/>
    </row>
    <row r="119" spans="1:44" ht="24.95" customHeight="1" x14ac:dyDescent="0.2">
      <c r="A119" s="707" t="s">
        <v>24</v>
      </c>
      <c r="B119" s="1270" t="s">
        <v>300</v>
      </c>
      <c r="C119" s="1271"/>
      <c r="D119" s="839"/>
      <c r="E119" s="37"/>
      <c r="F119" s="1"/>
      <c r="G119" s="1"/>
      <c r="H119" s="1"/>
    </row>
    <row r="120" spans="1:44" x14ac:dyDescent="0.2">
      <c r="B120" s="1276">
        <v>5</v>
      </c>
      <c r="C120" s="1277"/>
      <c r="D120" s="848"/>
      <c r="E120" s="37"/>
      <c r="F120" s="1"/>
      <c r="G120" s="1"/>
      <c r="H120" s="1"/>
    </row>
    <row r="121" spans="1:44" x14ac:dyDescent="0.2">
      <c r="E121" s="37"/>
      <c r="F121" s="1"/>
      <c r="G121" s="1"/>
      <c r="H121" s="1"/>
    </row>
    <row r="122" spans="1:44" ht="39.950000000000003" customHeight="1" x14ac:dyDescent="0.2">
      <c r="A122" s="707" t="s">
        <v>24</v>
      </c>
      <c r="B122" s="1270" t="s">
        <v>308</v>
      </c>
      <c r="C122" s="1271"/>
      <c r="D122" s="839"/>
      <c r="E122" s="37"/>
      <c r="F122" s="1"/>
      <c r="G122" s="1"/>
      <c r="H122" s="1"/>
    </row>
    <row r="123" spans="1:44" ht="25.5" x14ac:dyDescent="0.2">
      <c r="B123" s="153" t="s">
        <v>219</v>
      </c>
      <c r="C123" s="153" t="s">
        <v>220</v>
      </c>
      <c r="D123" s="840"/>
      <c r="E123" s="37"/>
      <c r="F123" s="1"/>
      <c r="G123" s="1"/>
      <c r="H123" s="1"/>
    </row>
    <row r="124" spans="1:44" x14ac:dyDescent="0.2">
      <c r="B124" s="457">
        <v>0</v>
      </c>
      <c r="C124" s="457">
        <v>0</v>
      </c>
      <c r="D124" s="630"/>
      <c r="E124" s="37"/>
      <c r="F124" s="1"/>
      <c r="G124" s="1"/>
      <c r="H124" s="1"/>
    </row>
    <row r="125" spans="1:44" x14ac:dyDescent="0.2">
      <c r="B125" s="630"/>
      <c r="C125" s="630"/>
      <c r="D125" s="630"/>
      <c r="E125" s="37"/>
      <c r="F125" s="1"/>
      <c r="G125" s="1"/>
      <c r="H125" s="1"/>
    </row>
    <row r="126" spans="1:44" ht="54.95" customHeight="1" x14ac:dyDescent="0.2">
      <c r="A126" s="707" t="s">
        <v>24</v>
      </c>
      <c r="B126" s="1270" t="s">
        <v>335</v>
      </c>
      <c r="C126" s="1271"/>
      <c r="D126" s="839"/>
      <c r="E126" s="37"/>
      <c r="F126" s="1"/>
      <c r="G126" s="1"/>
      <c r="H126" s="1"/>
    </row>
    <row r="127" spans="1:44" x14ac:dyDescent="0.2">
      <c r="B127" s="824" t="s">
        <v>92</v>
      </c>
      <c r="C127" s="822"/>
      <c r="D127" s="849"/>
      <c r="E127" s="37"/>
      <c r="F127" s="1"/>
      <c r="G127" s="1"/>
      <c r="H127" s="1"/>
    </row>
    <row r="128" spans="1:44" x14ac:dyDescent="0.2">
      <c r="B128" s="825">
        <v>0.05</v>
      </c>
      <c r="C128" s="823"/>
      <c r="D128" s="850"/>
      <c r="E128" s="37"/>
      <c r="F128" s="1"/>
      <c r="G128" s="1"/>
      <c r="H128" s="1"/>
    </row>
    <row r="129" spans="2:17" x14ac:dyDescent="0.2">
      <c r="B129" s="825">
        <v>0.2</v>
      </c>
      <c r="C129" s="823"/>
      <c r="D129" s="850"/>
      <c r="E129" s="37"/>
      <c r="F129" s="1"/>
      <c r="G129" s="1"/>
      <c r="H129" s="1"/>
    </row>
    <row r="130" spans="2:17" x14ac:dyDescent="0.2">
      <c r="E130" s="37"/>
      <c r="F130" s="1"/>
      <c r="G130" s="1"/>
      <c r="H130" s="1"/>
    </row>
    <row r="131" spans="2:17" x14ac:dyDescent="0.2">
      <c r="B131" s="220" t="s">
        <v>257</v>
      </c>
      <c r="C131" s="1304" t="s">
        <v>256</v>
      </c>
      <c r="D131" s="1305"/>
      <c r="E131" s="1305"/>
      <c r="F131" s="1305"/>
      <c r="G131" s="1306"/>
      <c r="K131" s="477"/>
      <c r="L131" s="477"/>
      <c r="M131" s="477"/>
      <c r="N131" s="477"/>
      <c r="O131" s="477"/>
      <c r="P131" s="477"/>
      <c r="Q131" s="477"/>
    </row>
    <row r="132" spans="2:17" x14ac:dyDescent="0.2">
      <c r="B132" s="1302" t="s">
        <v>258</v>
      </c>
      <c r="C132" s="1302"/>
      <c r="D132" s="1302"/>
      <c r="E132" s="1302"/>
      <c r="F132" s="1302"/>
      <c r="G132" s="1302"/>
      <c r="H132" s="1302"/>
      <c r="I132" s="1302"/>
      <c r="J132" s="838"/>
      <c r="K132" s="1"/>
    </row>
    <row r="133" spans="2:17" x14ac:dyDescent="0.2">
      <c r="B133" s="1303"/>
      <c r="C133" s="1303"/>
      <c r="D133" s="1303"/>
      <c r="E133" s="1303"/>
      <c r="F133" s="1303"/>
      <c r="G133" s="1303"/>
      <c r="H133" s="1302"/>
      <c r="I133" s="1302"/>
      <c r="J133" s="838"/>
      <c r="K133" s="1"/>
    </row>
    <row r="134" spans="2:17" ht="25.5" x14ac:dyDescent="0.2">
      <c r="B134" s="153" t="s">
        <v>64</v>
      </c>
      <c r="C134" s="153" t="s">
        <v>5</v>
      </c>
      <c r="D134" s="153" t="s">
        <v>77</v>
      </c>
      <c r="E134" s="155" t="s">
        <v>6</v>
      </c>
      <c r="F134" s="153" t="s">
        <v>4</v>
      </c>
      <c r="G134" s="153" t="s">
        <v>0</v>
      </c>
      <c r="H134" s="875"/>
      <c r="I134" s="51"/>
      <c r="J134" s="840"/>
    </row>
    <row r="135" spans="2:17" x14ac:dyDescent="0.2">
      <c r="B135" s="166" t="s">
        <v>7</v>
      </c>
      <c r="C135" s="167">
        <v>0</v>
      </c>
      <c r="D135" s="168">
        <v>5</v>
      </c>
      <c r="E135" s="169">
        <v>0</v>
      </c>
      <c r="F135" s="170">
        <v>6</v>
      </c>
      <c r="G135" s="171">
        <v>5</v>
      </c>
      <c r="J135" s="842"/>
    </row>
    <row r="136" spans="2:17" x14ac:dyDescent="0.2">
      <c r="B136" s="172" t="s">
        <v>8</v>
      </c>
      <c r="C136" s="816">
        <f t="shared" ref="C136:C145" si="0">D135+0.0000001</f>
        <v>5.0000001000000003</v>
      </c>
      <c r="D136" s="173">
        <v>10</v>
      </c>
      <c r="E136" s="174">
        <v>5</v>
      </c>
      <c r="F136" s="175">
        <v>6</v>
      </c>
      <c r="G136" s="176">
        <v>5</v>
      </c>
      <c r="J136" s="842"/>
    </row>
    <row r="137" spans="2:17" x14ac:dyDescent="0.2">
      <c r="B137" s="172" t="s">
        <v>9</v>
      </c>
      <c r="C137" s="816">
        <f t="shared" si="0"/>
        <v>10.000000099999999</v>
      </c>
      <c r="D137" s="173">
        <v>15</v>
      </c>
      <c r="E137" s="174">
        <v>10</v>
      </c>
      <c r="F137" s="175">
        <v>6</v>
      </c>
      <c r="G137" s="176">
        <v>5</v>
      </c>
      <c r="J137" s="842"/>
    </row>
    <row r="138" spans="2:17" x14ac:dyDescent="0.2">
      <c r="B138" s="172" t="s">
        <v>10</v>
      </c>
      <c r="C138" s="816">
        <f t="shared" si="0"/>
        <v>15.000000099999999</v>
      </c>
      <c r="D138" s="173">
        <v>20</v>
      </c>
      <c r="E138" s="174">
        <v>15</v>
      </c>
      <c r="F138" s="175">
        <v>8</v>
      </c>
      <c r="G138" s="176">
        <v>6</v>
      </c>
      <c r="J138" s="842"/>
    </row>
    <row r="139" spans="2:17" x14ac:dyDescent="0.2">
      <c r="B139" s="172" t="s">
        <v>11</v>
      </c>
      <c r="C139" s="816">
        <f t="shared" si="0"/>
        <v>20.000000100000001</v>
      </c>
      <c r="D139" s="173">
        <v>25</v>
      </c>
      <c r="E139" s="174">
        <v>20</v>
      </c>
      <c r="F139" s="175">
        <v>8</v>
      </c>
      <c r="G139" s="176">
        <v>6</v>
      </c>
      <c r="J139" s="842"/>
    </row>
    <row r="140" spans="2:17" x14ac:dyDescent="0.2">
      <c r="B140" s="172" t="s">
        <v>12</v>
      </c>
      <c r="C140" s="816">
        <f t="shared" si="0"/>
        <v>25.000000100000001</v>
      </c>
      <c r="D140" s="173">
        <v>30</v>
      </c>
      <c r="E140" s="174">
        <v>25</v>
      </c>
      <c r="F140" s="175">
        <v>8</v>
      </c>
      <c r="G140" s="176">
        <v>6</v>
      </c>
      <c r="J140" s="842"/>
    </row>
    <row r="141" spans="2:17" x14ac:dyDescent="0.2">
      <c r="B141" s="172" t="s">
        <v>13</v>
      </c>
      <c r="C141" s="816">
        <f t="shared" si="0"/>
        <v>30.000000100000001</v>
      </c>
      <c r="D141" s="173">
        <v>35</v>
      </c>
      <c r="E141" s="174">
        <v>30</v>
      </c>
      <c r="F141" s="175">
        <v>8</v>
      </c>
      <c r="G141" s="176">
        <v>6</v>
      </c>
      <c r="J141" s="842"/>
    </row>
    <row r="142" spans="2:17" x14ac:dyDescent="0.2">
      <c r="B142" s="172" t="s">
        <v>14</v>
      </c>
      <c r="C142" s="816">
        <f t="shared" si="0"/>
        <v>35.000000100000001</v>
      </c>
      <c r="D142" s="173">
        <v>40</v>
      </c>
      <c r="E142" s="174">
        <v>35</v>
      </c>
      <c r="F142" s="175">
        <v>8</v>
      </c>
      <c r="G142" s="176">
        <v>6</v>
      </c>
      <c r="J142" s="842"/>
    </row>
    <row r="143" spans="2:17" x14ac:dyDescent="0.2">
      <c r="B143" s="172" t="s">
        <v>15</v>
      </c>
      <c r="C143" s="816">
        <f t="shared" si="0"/>
        <v>40.000000100000001</v>
      </c>
      <c r="D143" s="173">
        <v>45</v>
      </c>
      <c r="E143" s="174">
        <v>40</v>
      </c>
      <c r="F143" s="175">
        <v>18</v>
      </c>
      <c r="G143" s="176">
        <v>10</v>
      </c>
      <c r="J143" s="842"/>
    </row>
    <row r="144" spans="2:17" x14ac:dyDescent="0.2">
      <c r="B144" s="172" t="s">
        <v>16</v>
      </c>
      <c r="C144" s="816">
        <f t="shared" si="0"/>
        <v>45.000000100000001</v>
      </c>
      <c r="D144" s="173">
        <v>50</v>
      </c>
      <c r="E144" s="174">
        <v>45</v>
      </c>
      <c r="F144" s="175">
        <v>18</v>
      </c>
      <c r="G144" s="176">
        <v>10</v>
      </c>
      <c r="J144" s="842"/>
    </row>
    <row r="145" spans="2:10" ht="12.75" customHeight="1" x14ac:dyDescent="0.2">
      <c r="B145" s="177" t="s">
        <v>17</v>
      </c>
      <c r="C145" s="817">
        <f t="shared" si="0"/>
        <v>50.000000100000001</v>
      </c>
      <c r="D145" s="178">
        <v>999999</v>
      </c>
      <c r="E145" s="179">
        <v>50</v>
      </c>
      <c r="F145" s="180">
        <v>18</v>
      </c>
      <c r="G145" s="181">
        <v>10</v>
      </c>
      <c r="J145" s="842"/>
    </row>
    <row r="146" spans="2:10" ht="12.75" customHeight="1" x14ac:dyDescent="0.2">
      <c r="B146" s="1302" t="s">
        <v>259</v>
      </c>
      <c r="C146" s="1302"/>
      <c r="D146" s="1302"/>
      <c r="E146" s="1302"/>
      <c r="F146" s="1302"/>
      <c r="G146" s="1302"/>
      <c r="H146" s="1302"/>
      <c r="I146" s="1302"/>
      <c r="J146" s="838"/>
    </row>
    <row r="147" spans="2:10" x14ac:dyDescent="0.2">
      <c r="B147" s="1303"/>
      <c r="C147" s="1303"/>
      <c r="D147" s="1303"/>
      <c r="E147" s="1303"/>
      <c r="F147" s="1303"/>
      <c r="G147" s="1303"/>
      <c r="H147" s="1302"/>
      <c r="I147" s="1302"/>
      <c r="J147" s="838"/>
    </row>
    <row r="148" spans="2:10" ht="25.5" x14ac:dyDescent="0.2">
      <c r="B148" s="478" t="s">
        <v>64</v>
      </c>
      <c r="C148" s="478" t="s">
        <v>5</v>
      </c>
      <c r="D148" s="478" t="s">
        <v>77</v>
      </c>
      <c r="E148" s="479" t="s">
        <v>6</v>
      </c>
      <c r="F148" s="478" t="s">
        <v>4</v>
      </c>
      <c r="G148" s="478" t="s">
        <v>0</v>
      </c>
      <c r="H148" s="875"/>
      <c r="I148" s="51"/>
      <c r="J148" s="843"/>
    </row>
    <row r="149" spans="2:10" x14ac:dyDescent="0.2">
      <c r="B149" s="166" t="s">
        <v>7</v>
      </c>
      <c r="C149" s="480">
        <v>0</v>
      </c>
      <c r="D149" s="481">
        <v>5</v>
      </c>
      <c r="E149" s="169">
        <v>0</v>
      </c>
      <c r="F149" s="169">
        <v>7</v>
      </c>
      <c r="G149" s="482">
        <v>5</v>
      </c>
      <c r="J149" s="844"/>
    </row>
    <row r="150" spans="2:10" x14ac:dyDescent="0.2">
      <c r="B150" s="483" t="s">
        <v>8</v>
      </c>
      <c r="C150" s="818">
        <f t="shared" ref="C150:C159" si="1">D149+0.0000001</f>
        <v>5.0000001000000003</v>
      </c>
      <c r="D150" s="484">
        <v>10</v>
      </c>
      <c r="E150" s="174">
        <v>5</v>
      </c>
      <c r="F150" s="174">
        <v>7</v>
      </c>
      <c r="G150" s="485">
        <v>5</v>
      </c>
      <c r="J150" s="844"/>
    </row>
    <row r="151" spans="2:10" x14ac:dyDescent="0.2">
      <c r="B151" s="483" t="s">
        <v>9</v>
      </c>
      <c r="C151" s="818">
        <f t="shared" si="1"/>
        <v>10.000000099999999</v>
      </c>
      <c r="D151" s="484">
        <v>15</v>
      </c>
      <c r="E151" s="174">
        <v>10</v>
      </c>
      <c r="F151" s="174">
        <v>7</v>
      </c>
      <c r="G151" s="485">
        <v>5</v>
      </c>
      <c r="J151" s="844"/>
    </row>
    <row r="152" spans="2:10" x14ac:dyDescent="0.2">
      <c r="B152" s="483" t="s">
        <v>10</v>
      </c>
      <c r="C152" s="818">
        <f t="shared" si="1"/>
        <v>15.000000099999999</v>
      </c>
      <c r="D152" s="484">
        <v>20</v>
      </c>
      <c r="E152" s="174">
        <v>15</v>
      </c>
      <c r="F152" s="174">
        <v>10</v>
      </c>
      <c r="G152" s="485">
        <v>6</v>
      </c>
      <c r="J152" s="844"/>
    </row>
    <row r="153" spans="2:10" x14ac:dyDescent="0.2">
      <c r="B153" s="483" t="s">
        <v>11</v>
      </c>
      <c r="C153" s="818">
        <f t="shared" si="1"/>
        <v>20.000000100000001</v>
      </c>
      <c r="D153" s="484">
        <v>25</v>
      </c>
      <c r="E153" s="174">
        <v>20</v>
      </c>
      <c r="F153" s="174">
        <v>10</v>
      </c>
      <c r="G153" s="485">
        <v>6</v>
      </c>
      <c r="J153" s="844"/>
    </row>
    <row r="154" spans="2:10" x14ac:dyDescent="0.2">
      <c r="B154" s="483" t="s">
        <v>12</v>
      </c>
      <c r="C154" s="818">
        <f t="shared" si="1"/>
        <v>25.000000100000001</v>
      </c>
      <c r="D154" s="484">
        <v>30</v>
      </c>
      <c r="E154" s="174">
        <v>25</v>
      </c>
      <c r="F154" s="174">
        <v>10</v>
      </c>
      <c r="G154" s="485">
        <v>6</v>
      </c>
      <c r="J154" s="844"/>
    </row>
    <row r="155" spans="2:10" x14ac:dyDescent="0.2">
      <c r="B155" s="483" t="s">
        <v>13</v>
      </c>
      <c r="C155" s="818">
        <f t="shared" si="1"/>
        <v>30.000000100000001</v>
      </c>
      <c r="D155" s="484">
        <v>35</v>
      </c>
      <c r="E155" s="174">
        <v>30</v>
      </c>
      <c r="F155" s="174">
        <v>10</v>
      </c>
      <c r="G155" s="485">
        <v>6</v>
      </c>
      <c r="J155" s="844"/>
    </row>
    <row r="156" spans="2:10" x14ac:dyDescent="0.2">
      <c r="B156" s="483" t="s">
        <v>14</v>
      </c>
      <c r="C156" s="818">
        <f t="shared" si="1"/>
        <v>35.000000100000001</v>
      </c>
      <c r="D156" s="484">
        <v>40</v>
      </c>
      <c r="E156" s="174">
        <v>35</v>
      </c>
      <c r="F156" s="174">
        <v>10</v>
      </c>
      <c r="G156" s="485">
        <v>6</v>
      </c>
      <c r="J156" s="844"/>
    </row>
    <row r="157" spans="2:10" x14ac:dyDescent="0.2">
      <c r="B157" s="483" t="s">
        <v>15</v>
      </c>
      <c r="C157" s="818">
        <f t="shared" si="1"/>
        <v>40.000000100000001</v>
      </c>
      <c r="D157" s="484">
        <v>45</v>
      </c>
      <c r="E157" s="174">
        <v>40</v>
      </c>
      <c r="F157" s="174">
        <v>20</v>
      </c>
      <c r="G157" s="485">
        <v>15</v>
      </c>
      <c r="J157" s="844"/>
    </row>
    <row r="158" spans="2:10" x14ac:dyDescent="0.2">
      <c r="B158" s="483" t="s">
        <v>16</v>
      </c>
      <c r="C158" s="818">
        <f t="shared" si="1"/>
        <v>45.000000100000001</v>
      </c>
      <c r="D158" s="484">
        <v>50</v>
      </c>
      <c r="E158" s="174">
        <v>45</v>
      </c>
      <c r="F158" s="174">
        <v>20</v>
      </c>
      <c r="G158" s="485">
        <v>15</v>
      </c>
      <c r="J158" s="844"/>
    </row>
    <row r="159" spans="2:10" x14ac:dyDescent="0.2">
      <c r="B159" s="486" t="s">
        <v>17</v>
      </c>
      <c r="C159" s="819">
        <f t="shared" si="1"/>
        <v>50.000000100000001</v>
      </c>
      <c r="D159" s="487">
        <v>999999</v>
      </c>
      <c r="E159" s="179">
        <v>50</v>
      </c>
      <c r="F159" s="179">
        <v>20</v>
      </c>
      <c r="G159" s="488">
        <v>15</v>
      </c>
      <c r="J159" s="844"/>
    </row>
    <row r="160" spans="2:10" x14ac:dyDescent="0.2"/>
    <row r="197" x14ac:dyDescent="0.2"/>
    <row r="198" x14ac:dyDescent="0.2"/>
    <row r="199" x14ac:dyDescent="0.2"/>
    <row r="200" x14ac:dyDescent="0.2"/>
  </sheetData>
  <sheetProtection insertRows="0"/>
  <mergeCells count="90">
    <mergeCell ref="C55:K55"/>
    <mergeCell ref="C62:K62"/>
    <mergeCell ref="C63:K63"/>
    <mergeCell ref="B70:K70"/>
    <mergeCell ref="C64:K64"/>
    <mergeCell ref="C56:K56"/>
    <mergeCell ref="C57:K57"/>
    <mergeCell ref="C58:K58"/>
    <mergeCell ref="C59:K59"/>
    <mergeCell ref="C60:K60"/>
    <mergeCell ref="C61:K61"/>
    <mergeCell ref="B25:B27"/>
    <mergeCell ref="B28:B30"/>
    <mergeCell ref="B31:B33"/>
    <mergeCell ref="C71:K71"/>
    <mergeCell ref="C72:K72"/>
    <mergeCell ref="C65:K65"/>
    <mergeCell ref="C66:K66"/>
    <mergeCell ref="C67:K67"/>
    <mergeCell ref="C68:K68"/>
    <mergeCell ref="B34:B36"/>
    <mergeCell ref="B37:B39"/>
    <mergeCell ref="B40:B42"/>
    <mergeCell ref="B43:B45"/>
    <mergeCell ref="B46:B48"/>
    <mergeCell ref="C52:K52"/>
    <mergeCell ref="C53:K53"/>
    <mergeCell ref="B22:B24"/>
    <mergeCell ref="AD2:AF2"/>
    <mergeCell ref="B4:B6"/>
    <mergeCell ref="B7:B9"/>
    <mergeCell ref="B10:B12"/>
    <mergeCell ref="B13:B15"/>
    <mergeCell ref="B16:B18"/>
    <mergeCell ref="AA2:AC2"/>
    <mergeCell ref="L2:N2"/>
    <mergeCell ref="O2:Q2"/>
    <mergeCell ref="F2:H2"/>
    <mergeCell ref="C2:E2"/>
    <mergeCell ref="I2:K2"/>
    <mergeCell ref="B19:B21"/>
    <mergeCell ref="AP2:AR2"/>
    <mergeCell ref="AM2:AO2"/>
    <mergeCell ref="R2:T2"/>
    <mergeCell ref="X2:Z2"/>
    <mergeCell ref="AJ2:AL2"/>
    <mergeCell ref="U2:W2"/>
    <mergeCell ref="AG2:AI2"/>
    <mergeCell ref="B94:H94"/>
    <mergeCell ref="B51:K51"/>
    <mergeCell ref="B86:Q86"/>
    <mergeCell ref="C73:K73"/>
    <mergeCell ref="C74:K74"/>
    <mergeCell ref="C75:K75"/>
    <mergeCell ref="C76:K76"/>
    <mergeCell ref="C77:K77"/>
    <mergeCell ref="C78:K78"/>
    <mergeCell ref="C79:K79"/>
    <mergeCell ref="C80:K80"/>
    <mergeCell ref="C81:K81"/>
    <mergeCell ref="C82:K82"/>
    <mergeCell ref="C83:K83"/>
    <mergeCell ref="C84:K84"/>
    <mergeCell ref="C54:K54"/>
    <mergeCell ref="C97:E97"/>
    <mergeCell ref="B146:I147"/>
    <mergeCell ref="B115:C115"/>
    <mergeCell ref="B132:I133"/>
    <mergeCell ref="B126:C126"/>
    <mergeCell ref="B122:C122"/>
    <mergeCell ref="B119:C119"/>
    <mergeCell ref="C131:G131"/>
    <mergeCell ref="B104:C104"/>
    <mergeCell ref="B105:C105"/>
    <mergeCell ref="B111:C111"/>
    <mergeCell ref="C92:E92"/>
    <mergeCell ref="C87:E87"/>
    <mergeCell ref="B120:C120"/>
    <mergeCell ref="C89:E89"/>
    <mergeCell ref="C95:E95"/>
    <mergeCell ref="C91:E91"/>
    <mergeCell ref="C90:E90"/>
    <mergeCell ref="B107:C107"/>
    <mergeCell ref="C96:E96"/>
    <mergeCell ref="C100:E100"/>
    <mergeCell ref="C98:E98"/>
    <mergeCell ref="B103:C103"/>
    <mergeCell ref="C99:E99"/>
    <mergeCell ref="B102:C102"/>
    <mergeCell ref="C88:E88"/>
  </mergeCells>
  <dataValidations count="9">
    <dataValidation type="list" allowBlank="1" showInputMessage="1" showErrorMessage="1" sqref="C131" xr:uid="{00000000-0002-0000-0A00-000000000000}">
      <formula1>"Comune con meno di 50.000 abitanti,Comune con più di 50.000 abitanti"</formula1>
    </dataValidation>
    <dataValidation allowBlank="1" showInputMessage="1" showErrorMessage="1" prompt="Definire il codice univoco di classificazione delle aree normative di riferimento. Tali voci  compariranno nel menu a discesa del foglio &quot;Descrizione dell'intervento&quot; in corrispondenza del campo in cui si seleziona l'ambito in cui ricade l'intervento_x000a_" sqref="A52" xr:uid="{00000000-0002-0000-0A00-000001000000}"/>
    <dataValidation allowBlank="1" showInputMessage="1" showErrorMessage="1" prompt="Elenco descrittivo di default delle destinazioni d'uso._x000a_La denominazione è personalizzabile e le variazioni apportate saranno applicate in tutte le parti del foglio di calcolo in cui sono riscontrabili" sqref="A71 A87" xr:uid="{00000000-0002-0000-0A00-000002000000}"/>
    <dataValidation allowBlank="1" showInputMessage="1" showErrorMessage="1" promptTitle="LR 12/05, art. 64" sqref="A95" xr:uid="{00000000-0002-0000-0A00-000003000000}"/>
    <dataValidation allowBlank="1" showInputMessage="1" showErrorMessage="1" promptTitle="LR 12/05, art. 43, comma 2bis" prompt="Gli interventi di nuova costruzione che sottraggono superfici agricole nello stato di fatto sono assoggettati ad una maggiorazione percentuale del contributo di costruzione, determinata dai comuni entro un minimo dell'1,5 ed un massimo del 5%" sqref="A119" xr:uid="{00000000-0002-0000-0A00-000004000000}"/>
    <dataValidation type="decimal" allowBlank="1" showInputMessage="1" showErrorMessage="1" errorTitle="ATTENZIONE!" error="Inserire un valore compreso tra 1,5 e 5" sqref="B120:D120" xr:uid="{00000000-0002-0000-0A00-000005000000}">
      <formula1>1.5</formula1>
      <formula2>5</formula2>
    </dataValidation>
    <dataValidation allowBlank="1" showInputMessage="1" showErrorMessage="1" promptTitle="DPR 380/01, art. 17, comma 4bis" prompt="Il contributo di costruzione deli interventi di riistrutturazione,  recupero e riuso degli immobili dismessi o in via di dismissione, è ridotto in misura non inferiore al 20% rispetto a quello previsto per le nuove costruzioni" sqref="A122" xr:uid="{00000000-0002-0000-0A00-000006000000}"/>
    <dataValidation allowBlank="1" showInputMessage="1" showErrorMessage="1" promptTitle="LR 31/14, art. 5, comma 10" prompt="Gli interventi che consumano suolo agricolo nello stato di fatto, sono soggetti ad una maggiorazione del costo di costruzione così determinata:_x000a_a) dal 20% al 30% all'esterno del tessuto urbano consolidato_x000a_b) 5% all'interno del tessuto urbano consolidato" sqref="A126" xr:uid="{00000000-0002-0000-0A00-000007000000}"/>
    <dataValidation allowBlank="1" showInputMessage="1" showErrorMessage="1" promptTitle="LR 12/05, art. 64, comma 7" prompt="[...]_x000a_I comuni possono deliberare l’applicazione di una maggiorazione, nella misura massima del 10% del contributo di costruzione dovuto." sqref="A111" xr:uid="{00000000-0002-0000-0A00-000008000000}"/>
  </dataValidations>
  <pageMargins left="0.65811023622047249" right="0.11811023622047245" top="0.35433070866141736" bottom="0.35433070866141736" header="0.31496062992125984" footer="0.31496062992125984"/>
  <pageSetup paperSize="9" scale="48"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66"/>
  </sheetPr>
  <dimension ref="A1:I38"/>
  <sheetViews>
    <sheetView showGridLines="0" showZeros="0" workbookViewId="0"/>
  </sheetViews>
  <sheetFormatPr defaultColWidth="0" defaultRowHeight="12.75" zeroHeight="1" x14ac:dyDescent="0.2"/>
  <cols>
    <col min="1" max="1" width="5.7109375" customWidth="1"/>
    <col min="2" max="2" width="31.85546875" bestFit="1" customWidth="1"/>
    <col min="3" max="3" width="11.7109375" customWidth="1"/>
    <col min="4" max="7" width="13.42578125" customWidth="1"/>
    <col min="8" max="8" width="2" customWidth="1"/>
    <col min="9" max="9" width="18.7109375" customWidth="1"/>
    <col min="10" max="16384" width="9.140625" hidden="1"/>
  </cols>
  <sheetData>
    <row r="1" spans="2:9" x14ac:dyDescent="0.2"/>
    <row r="2" spans="2:9" ht="15.75" x14ac:dyDescent="0.2">
      <c r="B2" s="1346" t="s">
        <v>274</v>
      </c>
      <c r="C2" s="1346"/>
      <c r="D2" s="1346"/>
      <c r="E2" s="1346"/>
      <c r="F2" s="1346"/>
      <c r="G2" s="1346"/>
      <c r="H2" s="1346"/>
    </row>
    <row r="3" spans="2:9" ht="12.75" customHeight="1" thickBot="1" x14ac:dyDescent="0.25">
      <c r="B3" s="517"/>
      <c r="C3" s="517"/>
      <c r="D3" s="517"/>
      <c r="E3" s="517"/>
      <c r="F3" s="517"/>
    </row>
    <row r="4" spans="2:9" ht="15" customHeight="1" x14ac:dyDescent="0.2">
      <c r="B4" s="1340" t="s">
        <v>281</v>
      </c>
      <c r="C4" s="1341"/>
      <c r="D4" s="1341"/>
      <c r="E4" s="1341"/>
      <c r="F4" s="1341"/>
      <c r="G4" s="1341"/>
      <c r="H4" s="1342"/>
      <c r="I4" s="1"/>
    </row>
    <row r="5" spans="2:9" ht="12.75" customHeight="1" x14ac:dyDescent="0.2">
      <c r="B5" s="1023" t="s">
        <v>292</v>
      </c>
      <c r="C5" s="1024"/>
      <c r="D5" s="1024"/>
      <c r="E5" s="1024"/>
      <c r="F5" s="1025"/>
      <c r="G5" s="533"/>
      <c r="H5" s="470"/>
      <c r="I5" s="85"/>
    </row>
    <row r="6" spans="2:9" ht="12.75" customHeight="1" x14ac:dyDescent="0.2">
      <c r="B6" s="1036" t="s">
        <v>279</v>
      </c>
      <c r="C6" s="1037"/>
      <c r="D6" s="1037"/>
      <c r="E6" s="1037"/>
      <c r="F6" s="1038"/>
      <c r="G6" s="523">
        <v>2.5000000000000001E-2</v>
      </c>
      <c r="H6" s="470"/>
      <c r="I6" s="24"/>
    </row>
    <row r="7" spans="2:9" ht="12.75" customHeight="1" thickBot="1" x14ac:dyDescent="0.25">
      <c r="B7" s="518"/>
      <c r="C7" s="514"/>
      <c r="D7" s="514"/>
      <c r="E7" s="515"/>
      <c r="F7" s="514"/>
      <c r="G7" s="522"/>
      <c r="H7" s="471"/>
      <c r="I7" s="24"/>
    </row>
    <row r="8" spans="2:9" ht="13.5" thickBot="1" x14ac:dyDescent="0.25">
      <c r="I8" s="24"/>
    </row>
    <row r="9" spans="2:9" ht="15" customHeight="1" x14ac:dyDescent="0.2">
      <c r="B9" s="1340" t="s">
        <v>280</v>
      </c>
      <c r="C9" s="1341"/>
      <c r="D9" s="1341"/>
      <c r="E9" s="1341"/>
      <c r="F9" s="1341"/>
      <c r="G9" s="1341"/>
      <c r="H9" s="1342"/>
      <c r="I9" s="1347" t="s">
        <v>242</v>
      </c>
    </row>
    <row r="10" spans="2:9" ht="12.75" customHeight="1" x14ac:dyDescent="0.2">
      <c r="B10" s="513"/>
      <c r="D10" s="511" t="s">
        <v>275</v>
      </c>
      <c r="E10" s="516"/>
      <c r="F10" s="510"/>
      <c r="G10" s="51"/>
      <c r="H10" s="470"/>
      <c r="I10" s="1347"/>
    </row>
    <row r="11" spans="2:9" ht="12.75" customHeight="1" x14ac:dyDescent="0.2">
      <c r="B11" s="1343" t="s">
        <v>76</v>
      </c>
      <c r="C11" s="1345"/>
      <c r="D11" s="524">
        <f ca="1">Riepilogo_CostoCostruzione_totale*0.25</f>
        <v>0</v>
      </c>
      <c r="E11" s="1348"/>
      <c r="F11" s="1349"/>
      <c r="G11" s="1349"/>
      <c r="H11" s="470"/>
    </row>
    <row r="12" spans="2:9" ht="12.75" customHeight="1" x14ac:dyDescent="0.2">
      <c r="B12" s="1337" t="s">
        <v>82</v>
      </c>
      <c r="C12" s="1339"/>
      <c r="D12" s="525">
        <f>Riepilogo_Cc_OneriSmaltRifiutiRif*0.25</f>
        <v>0</v>
      </c>
      <c r="E12" s="1350"/>
      <c r="F12" s="1351"/>
      <c r="G12" s="1351"/>
      <c r="H12" s="470"/>
    </row>
    <row r="13" spans="2:9" ht="12.75" customHeight="1" x14ac:dyDescent="0.2">
      <c r="B13" s="1337" t="s">
        <v>184</v>
      </c>
      <c r="C13" s="1339"/>
      <c r="D13" s="521">
        <f>Riepilogo_OneriUrbPrim*0.25</f>
        <v>0</v>
      </c>
      <c r="E13" s="1350"/>
      <c r="F13" s="1351"/>
      <c r="G13" s="1351"/>
      <c r="H13" s="470"/>
    </row>
    <row r="14" spans="2:9" ht="12.75" customHeight="1" x14ac:dyDescent="0.2">
      <c r="B14" s="1337" t="s">
        <v>185</v>
      </c>
      <c r="C14" s="1339"/>
      <c r="D14" s="534">
        <f>Riepilogo_OneriSecPrim*0.25</f>
        <v>0</v>
      </c>
      <c r="E14" s="1350"/>
      <c r="F14" s="1351"/>
      <c r="G14" s="1351"/>
      <c r="H14" s="470"/>
    </row>
    <row r="15" spans="2:9" ht="12.75" customHeight="1" thickBot="1" x14ac:dyDescent="0.25">
      <c r="B15" s="535"/>
      <c r="C15" s="519"/>
      <c r="D15" s="536"/>
      <c r="E15" s="519"/>
      <c r="F15" s="537"/>
      <c r="G15" s="519"/>
      <c r="H15" s="471"/>
    </row>
    <row r="16" spans="2:9" ht="15" customHeight="1" x14ac:dyDescent="0.25">
      <c r="B16" s="1334" t="s">
        <v>99</v>
      </c>
      <c r="C16" s="1335"/>
      <c r="D16" s="539">
        <f ca="1">Rateizzazione_1RataCC+Rateizzazione_1RataSR+Rateizzazione_1RataOnPrim+Rateizzazione_1RataOnSec</f>
        <v>0</v>
      </c>
    </row>
    <row r="17" spans="2:8" ht="6" customHeight="1" x14ac:dyDescent="0.2">
      <c r="B17" s="520"/>
      <c r="D17" s="529"/>
    </row>
    <row r="18" spans="2:8" ht="15" customHeight="1" x14ac:dyDescent="0.25">
      <c r="B18" s="1336" t="s">
        <v>282</v>
      </c>
      <c r="C18" s="1336"/>
      <c r="D18" s="542">
        <f>IF(Rateizzazione_DataProtocollo&gt; 1/1/1990,Rateizzazione_DataProtocollo+30,0)</f>
        <v>0</v>
      </c>
    </row>
    <row r="19" spans="2:8" ht="12.75" customHeight="1" thickBot="1" x14ac:dyDescent="0.25">
      <c r="B19" s="520"/>
      <c r="D19" s="530"/>
    </row>
    <row r="20" spans="2:8" ht="15" customHeight="1" x14ac:dyDescent="0.2">
      <c r="B20" s="1340" t="s">
        <v>273</v>
      </c>
      <c r="C20" s="1341"/>
      <c r="D20" s="1341"/>
      <c r="E20" s="1341"/>
      <c r="F20" s="1341"/>
      <c r="G20" s="1341"/>
      <c r="H20" s="1342"/>
    </row>
    <row r="21" spans="2:8" ht="12.75" customHeight="1" x14ac:dyDescent="0.2">
      <c r="B21" s="513"/>
      <c r="E21" s="511" t="s">
        <v>276</v>
      </c>
      <c r="F21" s="511" t="s">
        <v>277</v>
      </c>
      <c r="G21" s="510" t="s">
        <v>278</v>
      </c>
      <c r="H21" s="470"/>
    </row>
    <row r="22" spans="2:8" ht="12.75" customHeight="1" x14ac:dyDescent="0.2">
      <c r="B22" s="1343" t="s">
        <v>76</v>
      </c>
      <c r="C22" s="1344"/>
      <c r="D22" s="1345"/>
      <c r="E22" s="526">
        <f ca="1">Riepilogo_CostoCostruzione_totale*0.25</f>
        <v>0</v>
      </c>
      <c r="F22" s="526">
        <f ca="1">Riepilogo_CostoCostruzione_totale*0.25</f>
        <v>0</v>
      </c>
      <c r="G22" s="525">
        <f ca="1">Riepilogo_CostoCostruzione_totale*0.25</f>
        <v>0</v>
      </c>
      <c r="H22" s="470"/>
    </row>
    <row r="23" spans="2:8" ht="12.75" customHeight="1" x14ac:dyDescent="0.2">
      <c r="B23" s="1337" t="s">
        <v>82</v>
      </c>
      <c r="C23" s="1338"/>
      <c r="D23" s="1339"/>
      <c r="E23" s="527">
        <f>((Riepilogo_Cc_OneriSmaltRifiutiRif*0.25)+(((Riepilogo_Cc_OneriSmaltRifiutiRif-Rateizzazione_1RataSR)*Rateizzazione_InteresseLegale*180)/(365))/3)</f>
        <v>0</v>
      </c>
      <c r="F23" s="525">
        <f>((Riepilogo_Cc_OneriSmaltRifiutiRif*0.25)+(((Riepilogo_Cc_OneriSmaltRifiutiRif-(Rateizzazione_1RataSR*2))*Rateizzazione_InteresseLegale*360)/(365))/2)</f>
        <v>0</v>
      </c>
      <c r="G23" s="528">
        <f>((Riepilogo_Cc_OneriSmaltRifiutiRif*0.25)+(((Riepilogo_Cc_OneriSmaltRifiutiRif-(Rateizzazione_1RataSR*3))*Rateizzazione_InteresseLegale*540)/(365)))</f>
        <v>0</v>
      </c>
      <c r="H23" s="470"/>
    </row>
    <row r="24" spans="2:8" ht="12.75" customHeight="1" x14ac:dyDescent="0.2">
      <c r="B24" s="1337" t="s">
        <v>184</v>
      </c>
      <c r="C24" s="1338"/>
      <c r="D24" s="1339"/>
      <c r="E24" s="527">
        <f>((Riepilogo_OneriUrbPrim*0.25)+(((Riepilogo_OneriUrbPrim-Rateizzazione_1RataOnPrim)*Rateizzazione_InteresseLegale*180)/(365))/3)</f>
        <v>0</v>
      </c>
      <c r="F24" s="525">
        <f>((Riepilogo_OneriUrbPrim*0.25)+(((Riepilogo_OneriUrbPrim-(Rateizzazione_1RataOnPrim*2))*Rateizzazione_InteresseLegale*360)/(365))/2)</f>
        <v>0</v>
      </c>
      <c r="G24" s="528">
        <f>((Riepilogo_OneriUrbPrim*0.25)+(((Riepilogo_OneriUrbPrim-(Rateizzazione_1RataOnPrim*3))*Rateizzazione_InteresseLegale*540)/(365)))</f>
        <v>0</v>
      </c>
      <c r="H24" s="470"/>
    </row>
    <row r="25" spans="2:8" ht="12.75" customHeight="1" x14ac:dyDescent="0.2">
      <c r="B25" s="1337" t="s">
        <v>185</v>
      </c>
      <c r="C25" s="1338"/>
      <c r="D25" s="1339"/>
      <c r="E25" s="527">
        <f>((Riepilogo_OneriSecPrim*0.25)+(((Riepilogo_OneriSecPrim-Rateizzazione_1RataOnSec)*Rateizzazione_InteresseLegale*180)/(365))/3)</f>
        <v>0</v>
      </c>
      <c r="F25" s="525">
        <f>((Riepilogo_OneriSecPrim*0.25)+(((Riepilogo_OneriSecPrim-(Rateizzazione_1RataOnSec*2))*Rateizzazione_InteresseLegale*360)/(365))/2)</f>
        <v>0</v>
      </c>
      <c r="G25" s="528">
        <f>((Riepilogo_OneriSecPrim*0.25)+(((Riepilogo_OneriSecPrim-(Rateizzazione_1RataOnSec*3))*Rateizzazione_InteresseLegale*540)/(365)))</f>
        <v>0</v>
      </c>
      <c r="H25" s="470"/>
    </row>
    <row r="26" spans="2:8" ht="12.75" customHeight="1" thickBot="1" x14ac:dyDescent="0.25">
      <c r="B26" s="512"/>
      <c r="C26" s="514"/>
      <c r="D26" s="514"/>
      <c r="E26" s="538"/>
      <c r="F26" s="538"/>
      <c r="G26" s="538"/>
      <c r="H26" s="471"/>
    </row>
    <row r="27" spans="2:8" ht="15" customHeight="1" x14ac:dyDescent="0.25">
      <c r="B27" s="1334" t="s">
        <v>99</v>
      </c>
      <c r="C27" s="1334"/>
      <c r="D27" s="1335"/>
      <c r="E27" s="540">
        <f ca="1">Rateizzazione_2RataCC+Rateizzazione_2RataSR+Rateizzazione_2RataOnPrim+Rateizzazione_2RataOnSec</f>
        <v>0</v>
      </c>
      <c r="F27" s="539">
        <f ca="1">Rateizzazione_3RataCC+Rateizzazione_3RataSR+Rateizzazione_3RataOnPrim+Rateizzazione_3RataOnSec</f>
        <v>0</v>
      </c>
      <c r="G27" s="541">
        <f ca="1">Rateizzazione_4RataCC+Rateizzazione_4RataSR+Rateizzazione_4RataOnPrim+Rateizzazione_4RataOnSec</f>
        <v>0</v>
      </c>
      <c r="H27" s="51"/>
    </row>
    <row r="28" spans="2:8" ht="6" customHeight="1" x14ac:dyDescent="0.2">
      <c r="B28" s="520"/>
      <c r="H28" s="51"/>
    </row>
    <row r="29" spans="2:8" ht="15" customHeight="1" x14ac:dyDescent="0.25">
      <c r="B29" s="1336" t="s">
        <v>282</v>
      </c>
      <c r="C29" s="1336"/>
      <c r="D29" s="1336"/>
      <c r="E29" s="542">
        <f>IF(Rateizzazione_DataProtocollo&gt; 1/1/1990,Rateizzazione_DataProtocollo+180,0)</f>
        <v>0</v>
      </c>
      <c r="F29" s="542">
        <f>IF(Rateizzazione_DataProtocollo&gt; 1/1/1990,Rateizzazione_DataProtocollo+360,0)</f>
        <v>0</v>
      </c>
      <c r="G29" s="543">
        <f>IF(Rateizzazione_DataProtocollo&gt; 1/1/1990,Rateizzazione_DataProtocollo+540,0)</f>
        <v>0</v>
      </c>
      <c r="H29" s="51"/>
    </row>
    <row r="30" spans="2:8" ht="12.75" customHeight="1" thickBot="1" x14ac:dyDescent="0.25">
      <c r="B30" s="531"/>
    </row>
    <row r="31" spans="2:8" ht="15" customHeight="1" x14ac:dyDescent="0.2">
      <c r="B31" s="1340" t="s">
        <v>284</v>
      </c>
      <c r="C31" s="1341"/>
      <c r="D31" s="1341"/>
      <c r="E31" s="1341"/>
      <c r="F31" s="1341"/>
      <c r="G31" s="1341"/>
      <c r="H31" s="1342"/>
    </row>
    <row r="32" spans="2:8" ht="12.75" customHeight="1" x14ac:dyDescent="0.2">
      <c r="B32" s="1023" t="s">
        <v>285</v>
      </c>
      <c r="C32" s="1024"/>
      <c r="D32" s="1024"/>
      <c r="E32" s="1024"/>
      <c r="F32" s="1025"/>
      <c r="G32" s="532">
        <f ca="1">Rateizzazione_Totale2Rata+Rateizzazione_Totale3Rata+Rateizzazione_Totale4Rata</f>
        <v>0</v>
      </c>
      <c r="H32" s="470"/>
    </row>
    <row r="33" spans="2:8" ht="12.75" customHeight="1" x14ac:dyDescent="0.2">
      <c r="B33" s="1036" t="s">
        <v>283</v>
      </c>
      <c r="C33" s="1037"/>
      <c r="D33" s="1037"/>
      <c r="E33" s="1037"/>
      <c r="F33" s="1038"/>
      <c r="G33" s="525">
        <f ca="1">(Rateizzazione_Totale2Rata+Rateizzazione_Totale3Rata+Rateizzazione_Totale4Rata)*0.4</f>
        <v>0</v>
      </c>
      <c r="H33" s="470"/>
    </row>
    <row r="34" spans="2:8" ht="12.75" customHeight="1" thickBot="1" x14ac:dyDescent="0.25">
      <c r="B34" s="518"/>
      <c r="C34" s="514"/>
      <c r="D34" s="514"/>
      <c r="E34" s="515"/>
      <c r="F34" s="514"/>
      <c r="G34" s="522"/>
      <c r="H34" s="471"/>
    </row>
    <row r="35" spans="2:8" ht="15" customHeight="1" x14ac:dyDescent="0.25">
      <c r="B35" s="1334" t="s">
        <v>286</v>
      </c>
      <c r="C35" s="1334"/>
      <c r="D35" s="1334"/>
      <c r="E35" s="1334"/>
      <c r="F35" s="1335"/>
      <c r="G35" s="539">
        <f ca="1">Rateizzazione_TotaleRate+Rateizzazione_Sanzioni</f>
        <v>0</v>
      </c>
    </row>
    <row r="36" spans="2:8" ht="6" customHeight="1" x14ac:dyDescent="0.2"/>
    <row r="37" spans="2:8" ht="15" customHeight="1" x14ac:dyDescent="0.25">
      <c r="B37" s="1333" t="s">
        <v>287</v>
      </c>
      <c r="C37" s="1333"/>
      <c r="D37" s="1333"/>
      <c r="E37" s="1333"/>
      <c r="F37" s="1333"/>
      <c r="G37" s="542">
        <f>IF(Rateizzazione_DataProtocollo&gt; 1/1/1990,Rateizzazione_Scadenza4Rata+540,0)</f>
        <v>0</v>
      </c>
    </row>
    <row r="38" spans="2:8" x14ac:dyDescent="0.2"/>
  </sheetData>
  <sheetProtection password="83CC" sheet="1" objects="1" scenarios="1"/>
  <mergeCells count="28">
    <mergeCell ref="I9:I10"/>
    <mergeCell ref="B11:C11"/>
    <mergeCell ref="B12:C12"/>
    <mergeCell ref="B13:C13"/>
    <mergeCell ref="B14:C14"/>
    <mergeCell ref="E11:G11"/>
    <mergeCell ref="E12:G12"/>
    <mergeCell ref="E13:G13"/>
    <mergeCell ref="E14:G14"/>
    <mergeCell ref="B2:H2"/>
    <mergeCell ref="B4:H4"/>
    <mergeCell ref="B5:F5"/>
    <mergeCell ref="B6:F6"/>
    <mergeCell ref="B9:H9"/>
    <mergeCell ref="B37:F37"/>
    <mergeCell ref="B27:D27"/>
    <mergeCell ref="B29:D29"/>
    <mergeCell ref="B35:F35"/>
    <mergeCell ref="B16:C16"/>
    <mergeCell ref="B18:C18"/>
    <mergeCell ref="B25:D25"/>
    <mergeCell ref="B31:H31"/>
    <mergeCell ref="B32:F32"/>
    <mergeCell ref="B33:F33"/>
    <mergeCell ref="B22:D22"/>
    <mergeCell ref="B20:H20"/>
    <mergeCell ref="B23:D23"/>
    <mergeCell ref="B24:D24"/>
  </mergeCells>
  <hyperlinks>
    <hyperlink ref="I9:I10" location="'Procedura guidata'!A1" display="Torna alla procedura guidata!" xr:uid="{00000000-0004-0000-0B00-000000000000}"/>
  </hyperlinks>
  <pageMargins left="0.7" right="0.7" top="0.75" bottom="0.75" header="0.3" footer="0.3"/>
  <pageSetup paperSize="9" orientation="portrait" horizontalDpi="300" verticalDpi="300"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0"/>
  <dimension ref="A1:Y2"/>
  <sheetViews>
    <sheetView workbookViewId="0"/>
  </sheetViews>
  <sheetFormatPr defaultRowHeight="12.75" x14ac:dyDescent="0.2"/>
  <cols>
    <col min="1" max="1" width="13.5703125" bestFit="1" customWidth="1"/>
    <col min="2" max="2" width="15.28515625" bestFit="1" customWidth="1"/>
    <col min="3" max="3" width="13.5703125" bestFit="1" customWidth="1"/>
    <col min="4" max="11" width="13.5703125" customWidth="1"/>
    <col min="12" max="12" width="10.5703125" bestFit="1" customWidth="1"/>
    <col min="13" max="13" width="11.42578125" bestFit="1" customWidth="1"/>
    <col min="14" max="14" width="14" customWidth="1"/>
    <col min="15" max="15" width="10.7109375" bestFit="1" customWidth="1"/>
    <col min="16" max="16" width="10.7109375" customWidth="1"/>
    <col min="17" max="17" width="15.5703125" customWidth="1"/>
    <col min="18" max="18" width="13.140625" customWidth="1"/>
    <col min="19" max="19" width="15.7109375" customWidth="1"/>
    <col min="20" max="20" width="13.140625" bestFit="1" customWidth="1"/>
    <col min="21" max="21" width="13.140625" customWidth="1"/>
    <col min="22" max="22" width="13" customWidth="1"/>
    <col min="23" max="23" width="14.28515625" bestFit="1" customWidth="1"/>
    <col min="24" max="24" width="13.7109375" customWidth="1"/>
    <col min="25" max="25" width="14.140625" bestFit="1" customWidth="1"/>
  </cols>
  <sheetData>
    <row r="1" spans="1:25" ht="51" x14ac:dyDescent="0.2">
      <c r="A1" s="45" t="s">
        <v>138</v>
      </c>
      <c r="B1" s="45" t="s">
        <v>139</v>
      </c>
      <c r="C1" s="45" t="s">
        <v>144</v>
      </c>
      <c r="D1" s="45" t="s">
        <v>146</v>
      </c>
      <c r="E1" s="45" t="s">
        <v>143</v>
      </c>
      <c r="F1" s="45" t="s">
        <v>307</v>
      </c>
      <c r="G1" s="4" t="s">
        <v>142</v>
      </c>
      <c r="H1" s="45" t="s">
        <v>333</v>
      </c>
      <c r="I1" s="45" t="s">
        <v>334</v>
      </c>
      <c r="J1" s="45" t="s">
        <v>342</v>
      </c>
      <c r="K1" s="45" t="s">
        <v>343</v>
      </c>
      <c r="L1" s="45" t="s">
        <v>76</v>
      </c>
      <c r="M1" s="4" t="s">
        <v>82</v>
      </c>
      <c r="N1" s="4" t="s">
        <v>293</v>
      </c>
      <c r="O1" s="4" t="s">
        <v>140</v>
      </c>
      <c r="P1" s="4" t="s">
        <v>291</v>
      </c>
      <c r="Q1" s="4" t="s">
        <v>91</v>
      </c>
      <c r="R1" s="4" t="s">
        <v>104</v>
      </c>
      <c r="S1" s="4" t="s">
        <v>93</v>
      </c>
      <c r="T1" s="45" t="s">
        <v>152</v>
      </c>
      <c r="U1" s="45" t="s">
        <v>338</v>
      </c>
      <c r="V1" s="45" t="s">
        <v>145</v>
      </c>
      <c r="W1" s="45" t="s">
        <v>190</v>
      </c>
      <c r="X1" s="4" t="s">
        <v>78</v>
      </c>
      <c r="Y1" s="4" t="s">
        <v>100</v>
      </c>
    </row>
    <row r="2" spans="1:25" x14ac:dyDescent="0.2">
      <c r="A2" s="3">
        <f>ROUND(Riepilogo_OneriUrbPrim,2)</f>
        <v>0</v>
      </c>
      <c r="B2" s="3">
        <f>ROUND(Riepilogo_OneriSecPrim,2)</f>
        <v>0</v>
      </c>
      <c r="C2" s="3">
        <f>ROUND((Riepilogo_OneriUrbPrim+Riepilogo_OneriSecPrim),2)</f>
        <v>0</v>
      </c>
      <c r="D2" s="3">
        <f>ROUND(Oneri_Urb_Prim_Corrisposti,2)</f>
        <v>0</v>
      </c>
      <c r="E2" s="3">
        <f>ROUND(Oneri_Urb_Sec_Corrisposti,2)</f>
        <v>0</v>
      </c>
      <c r="F2" s="3">
        <f>ROUND(SmaltimRif_Corrisposti,2)</f>
        <v>0</v>
      </c>
      <c r="G2" s="3">
        <f>ROUND(Costo_costruzione_Corrisposto+CostoCostr_Prog_StFatto_corrisposto,2)</f>
        <v>0</v>
      </c>
      <c r="H2" s="3">
        <f>ROUND(OpereUrbPrimRealizzate,2)</f>
        <v>0</v>
      </c>
      <c r="I2" s="3">
        <f>ROUND(OpereUrbSecRealizzate,2)</f>
        <v>0</v>
      </c>
      <c r="J2" s="3">
        <f>ROUND(CC_UrbPrimScomputati,2)</f>
        <v>0</v>
      </c>
      <c r="K2" s="3">
        <f>ROUND(CC_UrbSecScomputati,2)</f>
        <v>0</v>
      </c>
      <c r="L2" s="3">
        <f ca="1">ROUND(Riepilogo_CostoCostruzione_totale,2)</f>
        <v>0</v>
      </c>
      <c r="M2" s="3">
        <f>ROUND(Riepilogo_Cc_OneriSmaltRifiutiRif,2)</f>
        <v>0</v>
      </c>
      <c r="N2" s="3">
        <f>ROUND(Riepilogo_OneriUrbPrim+Riepilogo_OneriSecPrim+Riepilogo_Cc_OneriSmaltRifiutiRif,2)</f>
        <v>0</v>
      </c>
      <c r="O2" s="143">
        <f>ROUND(Riepilogo_Sanzione,2)</f>
        <v>0</v>
      </c>
      <c r="P2" s="143">
        <f>ROUND(Riepilogo_Oblazione,2)</f>
        <v>0</v>
      </c>
      <c r="Q2" s="3">
        <f>ROUND(Riepilogo_MaggOneriUrbPrimSott,2)</f>
        <v>0</v>
      </c>
      <c r="R2" s="3">
        <f>ROUND(Riepilogo_MaggOneriUrbSecSott,2)</f>
        <v>0</v>
      </c>
      <c r="S2" s="3">
        <f ca="1">ROUND(Riepilogo_MaggCostoCostSott,2)</f>
        <v>0</v>
      </c>
      <c r="T2" s="3">
        <f>ROUND(Riepilogo_OnUrb_AltriCosti_ValoreMaggCostoCAreeAgr+Riepilogo_CC_AltriCosti_ValoreMaggCostoCAreeAgr,2)</f>
        <v>0</v>
      </c>
      <c r="U2" s="3">
        <f>ROUND(Riepilogo_MaggCostoCostConsumoSuolo,2)</f>
        <v>0</v>
      </c>
      <c r="V2" s="3">
        <f ca="1">ROUND(Riepilogo_Contributo_costruzione,2)</f>
        <v>0</v>
      </c>
      <c r="W2" s="3">
        <f ca="1">ROUND(Riepilogo_ContCostCompresaMagg,2)</f>
        <v>0</v>
      </c>
      <c r="X2" s="3">
        <f>ROUND(Riepilogo_MonetizzParcheggi,2)</f>
        <v>0</v>
      </c>
      <c r="Y2" s="3">
        <f>ROUND(Riepilogo_MonetizzAreeStand,2)</f>
        <v>0</v>
      </c>
    </row>
  </sheetData>
  <sheetProtection password="83CC" sheet="1" objects="1" scenarios="1" formatColumns="0" formatRows="0" insertRows="0"/>
  <phoneticPr fontId="4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6">
    <pageSetUpPr fitToPage="1"/>
  </sheetPr>
  <dimension ref="A1:IS174"/>
  <sheetViews>
    <sheetView showGridLines="0" showZeros="0" topLeftCell="A171" zoomScaleNormal="100" workbookViewId="0">
      <selection activeCell="B27" sqref="B27:F27"/>
    </sheetView>
  </sheetViews>
  <sheetFormatPr defaultColWidth="0" defaultRowHeight="12.75" zeroHeight="1" x14ac:dyDescent="0.2"/>
  <cols>
    <col min="1" max="1" width="5.7109375" style="2" customWidth="1"/>
    <col min="2" max="2" width="47.42578125" style="1" customWidth="1"/>
    <col min="3" max="3" width="42.5703125" style="1" customWidth="1"/>
    <col min="4" max="4" width="12.42578125" style="1" customWidth="1"/>
    <col min="5" max="5" width="15.140625" style="1" customWidth="1"/>
    <col min="6" max="6" width="2" style="1" customWidth="1"/>
    <col min="7" max="7" width="18.7109375" style="1" customWidth="1"/>
    <col min="8" max="8" width="2.28515625" style="1" hidden="1" customWidth="1"/>
    <col min="9" max="9" width="9.140625" style="1" hidden="1" customWidth="1"/>
    <col min="10" max="253" width="0" style="1" hidden="1"/>
    <col min="254" max="254" width="14.28515625" style="1" hidden="1" customWidth="1"/>
    <col min="255" max="16384" width="14.28515625" style="1" hidden="1"/>
  </cols>
  <sheetData>
    <row r="1" spans="1:9" ht="12.75" customHeight="1" thickBot="1" x14ac:dyDescent="0.25">
      <c r="A1" s="24"/>
      <c r="B1" s="2"/>
      <c r="C1" s="2"/>
      <c r="D1" s="2"/>
      <c r="E1" s="2"/>
      <c r="F1" s="2"/>
    </row>
    <row r="2" spans="1:9" ht="15" customHeight="1" x14ac:dyDescent="0.2">
      <c r="A2" s="34"/>
      <c r="B2" s="980" t="s">
        <v>172</v>
      </c>
      <c r="C2" s="981"/>
      <c r="D2" s="981"/>
      <c r="E2" s="981"/>
      <c r="F2" s="982"/>
      <c r="I2" s="36"/>
    </row>
    <row r="3" spans="1:9" ht="12.75" customHeight="1" x14ac:dyDescent="0.2">
      <c r="A3" s="33"/>
      <c r="B3" s="985" t="s">
        <v>162</v>
      </c>
      <c r="C3" s="986"/>
      <c r="D3" s="986"/>
      <c r="E3" s="986"/>
      <c r="F3" s="987"/>
      <c r="G3" s="85"/>
    </row>
    <row r="4" spans="1:9" ht="12.75" customHeight="1" x14ac:dyDescent="0.2">
      <c r="A4" s="33"/>
      <c r="B4" s="973" t="s">
        <v>260</v>
      </c>
      <c r="C4" s="975"/>
      <c r="D4" s="713"/>
      <c r="E4" s="714">
        <f>ROUND(ImportoOneriUrb1-Riepilogo_OneriUrbPrimSott,2)</f>
        <v>0</v>
      </c>
      <c r="F4" s="52"/>
      <c r="G4" s="24"/>
      <c r="I4"/>
    </row>
    <row r="5" spans="1:9" ht="12.75" customHeight="1" x14ac:dyDescent="0.2">
      <c r="A5" s="33"/>
      <c r="B5" s="965" t="s">
        <v>261</v>
      </c>
      <c r="C5" s="966"/>
      <c r="D5" s="713"/>
      <c r="E5" s="714">
        <f>IF(ImportoOneriUrbanizzazione_NuovaDest&gt;0,ImportoOneriUrb1_NuovaDest,0)</f>
        <v>0</v>
      </c>
      <c r="F5" s="52"/>
      <c r="G5" s="24"/>
      <c r="I5"/>
    </row>
    <row r="6" spans="1:9" ht="12.75" customHeight="1" x14ac:dyDescent="0.2">
      <c r="A6" s="33"/>
      <c r="B6" s="965" t="s">
        <v>303</v>
      </c>
      <c r="C6" s="966"/>
      <c r="D6" s="713"/>
      <c r="E6" s="715">
        <f>ImportoOneriUrbRecSottPrimaria</f>
        <v>0</v>
      </c>
      <c r="F6" s="52"/>
      <c r="G6" s="682"/>
      <c r="I6"/>
    </row>
    <row r="7" spans="1:9" ht="12.75" customHeight="1" x14ac:dyDescent="0.2">
      <c r="A7" s="33"/>
      <c r="B7" s="965" t="s">
        <v>163</v>
      </c>
      <c r="C7" s="966"/>
      <c r="D7" s="713" t="str">
        <f>'Riepilogo oneri e costi'!P63</f>
        <v/>
      </c>
      <c r="E7" s="714">
        <f>CC_AltriCosti_ValoreMaggOnPrimRecSott</f>
        <v>0</v>
      </c>
      <c r="F7" s="52"/>
      <c r="G7" s="964" t="s">
        <v>242</v>
      </c>
      <c r="I7"/>
    </row>
    <row r="8" spans="1:9" ht="12.75" hidden="1" customHeight="1" x14ac:dyDescent="0.2">
      <c r="A8" s="33"/>
      <c r="B8" s="973" t="s">
        <v>165</v>
      </c>
      <c r="C8" s="975"/>
      <c r="D8" s="713" t="str">
        <f>IF(Riepilogo_RiduPianoCasaOneriUrbPrim&gt;0,IF(Par_PianoCasa_Rid&gt;0, TEXT(Par_PianoCasa_Rid,"0%")&amp;" a dedurre","Nessuna"),"")</f>
        <v/>
      </c>
      <c r="E8" s="714">
        <f>OnPrim_RiduzionePianoCasa</f>
        <v>0</v>
      </c>
      <c r="F8" s="54"/>
      <c r="G8" s="964"/>
      <c r="I8"/>
    </row>
    <row r="9" spans="1:9" ht="12.75" customHeight="1" x14ac:dyDescent="0.2">
      <c r="A9" s="33"/>
      <c r="B9" s="965" t="s">
        <v>365</v>
      </c>
      <c r="C9" s="966"/>
      <c r="D9" s="713" t="str">
        <f>IF(Riepilogo_RiduDensificazioneOneriUrbPrim&gt;0,IF(Par_Rid_Densificazione_Oneri&gt;0, TEXT(Par_Rid_Densificazione_Oneri,"0%")&amp;" a dedurre","Nessuna"),"")</f>
        <v/>
      </c>
      <c r="E9" s="715">
        <f>OnPrim_RiduzioneDensificazione</f>
        <v>0</v>
      </c>
      <c r="F9" s="54"/>
      <c r="G9" s="681"/>
      <c r="I9"/>
    </row>
    <row r="10" spans="1:9" ht="12.75" customHeight="1" x14ac:dyDescent="0.2">
      <c r="A10" s="33"/>
      <c r="B10" s="983" t="str">
        <f>"Riduzione per risparmio energetico"</f>
        <v>Riduzione per risparmio energetico</v>
      </c>
      <c r="C10" s="984"/>
      <c r="D10" s="713" t="str">
        <f>IF(DescInt_RisparmioPercent&gt;0,IF(DescInt_RisparmioPercent&gt;0, TEXT(DescInt_RisparmioPercent,"0%")&amp;" a dedurre","Nessuna"),"")</f>
        <v/>
      </c>
      <c r="E10" s="715">
        <f>OnPrim_RiduzioneRispEnerg</f>
        <v>0</v>
      </c>
      <c r="F10" s="54"/>
      <c r="G10" s="681"/>
      <c r="I10"/>
    </row>
    <row r="11" spans="1:9" ht="12.75" customHeight="1" x14ac:dyDescent="0.2">
      <c r="A11" s="33"/>
      <c r="B11" s="965" t="s">
        <v>164</v>
      </c>
      <c r="C11" s="966"/>
      <c r="D11" s="713" t="str">
        <f>IF(Oneri_Urb_Prim_Corrisposti&gt;0," a dedurre","")</f>
        <v/>
      </c>
      <c r="E11" s="715">
        <f>Oneri_Urb_Prim_Corrisposti</f>
        <v>0</v>
      </c>
      <c r="F11" s="52"/>
      <c r="G11" s="30"/>
      <c r="I11"/>
    </row>
    <row r="12" spans="1:9" ht="12.75" customHeight="1" x14ac:dyDescent="0.2">
      <c r="A12" s="33"/>
      <c r="B12" s="973" t="s">
        <v>392</v>
      </c>
      <c r="C12" s="974"/>
      <c r="D12" s="713"/>
      <c r="E12" s="714">
        <f>OpereUrbPrimRealizzate</f>
        <v>0</v>
      </c>
      <c r="F12" s="52"/>
      <c r="G12" s="30"/>
      <c r="I12"/>
    </row>
    <row r="13" spans="1:9" ht="12.75" customHeight="1" x14ac:dyDescent="0.2">
      <c r="A13" s="33"/>
      <c r="B13" s="973" t="s">
        <v>341</v>
      </c>
      <c r="C13" s="974"/>
      <c r="D13" s="713"/>
      <c r="E13" s="716">
        <f>CC_UrbPrimScomputati</f>
        <v>0</v>
      </c>
      <c r="F13" s="52"/>
      <c r="G13" s="30"/>
      <c r="I13"/>
    </row>
    <row r="14" spans="1:9" ht="12.75" customHeight="1" x14ac:dyDescent="0.2">
      <c r="A14" s="33"/>
      <c r="B14" s="990" t="s">
        <v>99</v>
      </c>
      <c r="C14" s="991"/>
      <c r="D14" s="713"/>
      <c r="E14" s="717">
        <f>IF(Riepilogo_OneriUrbPrimEsclusoSott+Riepilogo_OneriUrbPrimCambioUso+Riepilogo_OneriUrbPrimSott+Riepilogo_MaggOneriUrbPrimSott-Riepilogo_RiduPianoCasaOneriUrbPrim-Riepilogo_RiduDensificazioneOneriUrbPrim-Riepilogo_RiduRispEnerOup-Riepilogo_Oneri_Urb_Prim_Corrisposti-Riepilogo_OpereUrbPrimRealizzate+E13&gt;0,Riepilogo_OneriUrbPrimEsclusoSott+Riepilogo_OneriUrbPrimCambioUso+Riepilogo_OneriUrbPrimSott+Riepilogo_MaggOneriUrbPrimSott-Riepilogo_RiduPianoCasaOneriUrbPrim-Riepilogo_RiduDensificazioneOneriUrbPrim-Riepilogo_RiduRispEnerOup-Riepilogo_Oneri_Urb_Prim_Corrisposti-Riepilogo_OpereUrbPrimRealizzate+E13,0)</f>
        <v>0</v>
      </c>
      <c r="F14" s="52"/>
      <c r="G14" s="30"/>
      <c r="I14"/>
    </row>
    <row r="15" spans="1:9" ht="12.75" customHeight="1" x14ac:dyDescent="0.2">
      <c r="A15" s="33"/>
      <c r="B15" s="985" t="s">
        <v>170</v>
      </c>
      <c r="C15" s="986"/>
      <c r="D15" s="986"/>
      <c r="E15" s="986"/>
      <c r="F15" s="987"/>
      <c r="G15" s="24"/>
    </row>
    <row r="16" spans="1:9" ht="12.75" customHeight="1" x14ac:dyDescent="0.2">
      <c r="A16" s="33"/>
      <c r="B16" s="973" t="s">
        <v>260</v>
      </c>
      <c r="C16" s="975"/>
      <c r="D16" s="713"/>
      <c r="E16" s="714">
        <f>ROUND(ImportoOneriUrb2-Riepilogo_OneriUrbSecSott,2)</f>
        <v>0</v>
      </c>
      <c r="F16" s="52"/>
      <c r="I16"/>
    </row>
    <row r="17" spans="1:9" ht="12.75" customHeight="1" x14ac:dyDescent="0.2">
      <c r="A17" s="33"/>
      <c r="B17" s="965" t="s">
        <v>261</v>
      </c>
      <c r="C17" s="966"/>
      <c r="D17" s="713"/>
      <c r="E17" s="715">
        <f>IF(ImportoOneriUrbanizzazione_NuovaDest&gt;0,ImportoOneriUrb2_NuovaDest,0)</f>
        <v>0</v>
      </c>
      <c r="F17" s="52"/>
      <c r="I17"/>
    </row>
    <row r="18" spans="1:9" ht="12.75" customHeight="1" x14ac:dyDescent="0.2">
      <c r="A18" s="33"/>
      <c r="B18" s="965" t="s">
        <v>303</v>
      </c>
      <c r="C18" s="966"/>
      <c r="D18" s="713"/>
      <c r="E18" s="715">
        <f>ImportoOneriUrbRecSottSecondaria</f>
        <v>0</v>
      </c>
      <c r="F18" s="52"/>
      <c r="I18"/>
    </row>
    <row r="19" spans="1:9" ht="12.75" customHeight="1" x14ac:dyDescent="0.2">
      <c r="A19" s="33"/>
      <c r="B19" s="965" t="s">
        <v>163</v>
      </c>
      <c r="C19" s="966"/>
      <c r="D19" s="713" t="str">
        <f>'Riepilogo oneri e costi'!P73</f>
        <v/>
      </c>
      <c r="E19" s="714">
        <f>CC_AltriCosti_ValoreMaggOnRecSott</f>
        <v>0</v>
      </c>
      <c r="F19" s="52"/>
      <c r="I19"/>
    </row>
    <row r="20" spans="1:9" ht="12.75" hidden="1" customHeight="1" x14ac:dyDescent="0.2">
      <c r="A20" s="33"/>
      <c r="B20" s="973" t="s">
        <v>165</v>
      </c>
      <c r="C20" s="975"/>
      <c r="D20" s="713" t="str">
        <f>IF(Riepilogo_RiduPianoCasaOneriUrbSec&gt;0,IF(Par_PianoCasa_Rid&gt;0, TEXT(Par_PianoCasa_Rid,"0%")&amp;" a dedurre","Nessuna"),"")</f>
        <v/>
      </c>
      <c r="E20" s="714">
        <f>OnSec_RiduzionePianoCasa</f>
        <v>0</v>
      </c>
      <c r="F20" s="54"/>
      <c r="I20"/>
    </row>
    <row r="21" spans="1:9" ht="12.75" customHeight="1" x14ac:dyDescent="0.2">
      <c r="A21" s="33"/>
      <c r="B21" s="965" t="s">
        <v>365</v>
      </c>
      <c r="C21" s="966"/>
      <c r="D21" s="713" t="str">
        <f>IF(Riepilogo_RiduDensificazioneOneriUrbSec&gt;0,IF(Par_Rid_Densificazione_Oneri&gt;0, TEXT(Par_Rid_Densificazione_Oneri,"0%")&amp;" a dedurre","Nessuna"),"")</f>
        <v/>
      </c>
      <c r="E21" s="715">
        <f>OnSec_RiduzioneDensificazione</f>
        <v>0</v>
      </c>
      <c r="F21" s="54"/>
      <c r="I21"/>
    </row>
    <row r="22" spans="1:9" ht="12.75" customHeight="1" x14ac:dyDescent="0.2">
      <c r="A22" s="33"/>
      <c r="B22" s="983" t="str">
        <f>"Riduzione per risparmio energetico"</f>
        <v>Riduzione per risparmio energetico</v>
      </c>
      <c r="C22" s="984"/>
      <c r="D22" s="713" t="str">
        <f>IF(DescInt_RisparmioPercent&gt;0,IF(DescInt_RisparmioPercent&gt;0, TEXT(DescInt_RisparmioPercent,"0%")&amp;" a dedurre","Nessuna"),"")</f>
        <v/>
      </c>
      <c r="E22" s="715">
        <f>OC_RispEnerSecResid_Hide</f>
        <v>0</v>
      </c>
      <c r="F22" s="54"/>
      <c r="I22"/>
    </row>
    <row r="23" spans="1:9" ht="12.75" customHeight="1" x14ac:dyDescent="0.2">
      <c r="A23" s="33"/>
      <c r="B23" s="965" t="s">
        <v>164</v>
      </c>
      <c r="C23" s="966"/>
      <c r="D23" s="713" t="str">
        <f>IF(Oneri_Urb_Sec_Corrisposti&gt;0," a dedurre","")</f>
        <v/>
      </c>
      <c r="E23" s="715">
        <f>Oneri_Urb_Sec_Corrisposti</f>
        <v>0</v>
      </c>
      <c r="F23" s="52"/>
      <c r="I23"/>
    </row>
    <row r="24" spans="1:9" ht="12.75" customHeight="1" x14ac:dyDescent="0.2">
      <c r="A24" s="33"/>
      <c r="B24" s="973" t="s">
        <v>391</v>
      </c>
      <c r="C24" s="974"/>
      <c r="D24" s="713"/>
      <c r="E24" s="714">
        <f>OpereUrbSecRealizzate</f>
        <v>0</v>
      </c>
      <c r="F24" s="52"/>
      <c r="I24"/>
    </row>
    <row r="25" spans="1:9" ht="12.75" customHeight="1" x14ac:dyDescent="0.2">
      <c r="A25" s="33"/>
      <c r="B25" s="973" t="s">
        <v>341</v>
      </c>
      <c r="C25" s="974"/>
      <c r="D25" s="713"/>
      <c r="E25" s="716">
        <f>CC_UrbSecScomputati</f>
        <v>0</v>
      </c>
      <c r="F25" s="52"/>
      <c r="I25"/>
    </row>
    <row r="26" spans="1:9" ht="12.75" customHeight="1" x14ac:dyDescent="0.2">
      <c r="A26" s="33"/>
      <c r="B26" s="990" t="s">
        <v>99</v>
      </c>
      <c r="C26" s="991"/>
      <c r="D26" s="713"/>
      <c r="E26" s="717">
        <f>IF(Riepilogo_OneriUrbSecEsclusoSott+Riepilogo_OneriUrbSecCambioUso+Riepilogo_OneriUrbSecSott+Riepilogo_MaggOneriUrbSecSott-Riepilogo_RiduPianoCasaOneriUrbSec-Riepilogo_RiduDensificazioneOneriUrbSec-Riepilogo_RiduRispEnerOus-Riepilogo_Oneri_Urb_Sec_Corrisposti-Riepilogo_OpereUrbSecRealizzate+E25&gt;0,Riepilogo_OneriUrbSecEsclusoSott+Riepilogo_OneriUrbSecCambioUso+Riepilogo_OneriUrbSecSott+Riepilogo_MaggOneriUrbSecSott-Riepilogo_RiduPianoCasaOneriUrbSec-Riepilogo_RiduDensificazioneOneriUrbSec-Riepilogo_RiduRispEnerOus-Riepilogo_Oneri_Urb_Sec_Corrisposti-Riepilogo_OpereUrbSecRealizzate+E25,0)</f>
        <v>0</v>
      </c>
      <c r="F26" s="52"/>
      <c r="I26"/>
    </row>
    <row r="27" spans="1:9" ht="12.75" customHeight="1" x14ac:dyDescent="0.2">
      <c r="A27" s="33"/>
      <c r="B27" s="985" t="s">
        <v>82</v>
      </c>
      <c r="C27" s="986"/>
      <c r="D27" s="986"/>
      <c r="E27" s="986"/>
      <c r="F27" s="987"/>
    </row>
    <row r="28" spans="1:9" ht="12.75" customHeight="1" x14ac:dyDescent="0.2">
      <c r="A28" s="33"/>
      <c r="B28" s="973" t="s">
        <v>260</v>
      </c>
      <c r="C28" s="975"/>
      <c r="D28" s="713"/>
      <c r="E28" s="714">
        <f>ImportoOneriSmaltimentoRif</f>
        <v>0</v>
      </c>
      <c r="F28" s="458"/>
    </row>
    <row r="29" spans="1:9" ht="12.75" customHeight="1" x14ac:dyDescent="0.2">
      <c r="A29" s="33"/>
      <c r="B29" s="965" t="s">
        <v>261</v>
      </c>
      <c r="C29" s="966"/>
      <c r="D29" s="713"/>
      <c r="E29" s="715">
        <f>ImportoSmaltRifiuti_NuovaDest</f>
        <v>0</v>
      </c>
      <c r="F29" s="489"/>
    </row>
    <row r="30" spans="1:9" ht="12.75" customHeight="1" x14ac:dyDescent="0.2">
      <c r="A30" s="33"/>
      <c r="B30" s="965" t="s">
        <v>164</v>
      </c>
      <c r="C30" s="966"/>
      <c r="D30" s="713"/>
      <c r="E30" s="715">
        <f>SmaltimRif_Corrisposti</f>
        <v>0</v>
      </c>
      <c r="F30" s="595"/>
    </row>
    <row r="31" spans="1:9" ht="12.75" customHeight="1" x14ac:dyDescent="0.2">
      <c r="A31" s="33"/>
      <c r="B31" s="397"/>
      <c r="C31" s="78" t="s">
        <v>99</v>
      </c>
      <c r="D31" s="713"/>
      <c r="E31" s="714">
        <f>IF(Riepilogo_OneriSmaltRifiutiRif+Riepilogo_OneriSmaltRifiutiCambioUso-Riepilogo_SmaltimRif_Corrisposti&gt;0,Riepilogo_OneriSmaltRifiutiRif+Riepilogo_OneriSmaltRifiutiCambioUso-Riepilogo_SmaltimRif_Corrisposti,0)</f>
        <v>0</v>
      </c>
      <c r="F31" s="52"/>
      <c r="I31"/>
    </row>
    <row r="32" spans="1:9" ht="12.75" customHeight="1" x14ac:dyDescent="0.2">
      <c r="A32" s="33"/>
      <c r="B32" s="64"/>
      <c r="C32" s="65"/>
      <c r="D32" s="66"/>
      <c r="E32" s="112"/>
      <c r="F32" s="52"/>
      <c r="I32"/>
    </row>
    <row r="33" spans="1:10" ht="12.75" customHeight="1" x14ac:dyDescent="0.2">
      <c r="A33" s="33"/>
      <c r="B33" s="976" t="s">
        <v>75</v>
      </c>
      <c r="C33" s="977"/>
      <c r="D33" s="718"/>
      <c r="E33" s="719">
        <f>ROUND(Riepilogo_OneriUrbPrim+Riepilogo_OneriSecPrim+Riepilogo_Cc_OneriSmaltRifiutiRif,2)</f>
        <v>0</v>
      </c>
      <c r="F33" s="52"/>
      <c r="I33" s="36"/>
    </row>
    <row r="34" spans="1:10" ht="12.75" customHeight="1" x14ac:dyDescent="0.2">
      <c r="A34" s="33"/>
      <c r="B34" s="55"/>
      <c r="C34" s="53"/>
      <c r="D34" s="56"/>
      <c r="E34" s="57"/>
      <c r="F34" s="52"/>
      <c r="I34" s="36"/>
    </row>
    <row r="35" spans="1:10" ht="12.75" customHeight="1" x14ac:dyDescent="0.2">
      <c r="A35" s="33"/>
      <c r="B35" s="985" t="s">
        <v>136</v>
      </c>
      <c r="C35" s="986"/>
      <c r="D35" s="986"/>
      <c r="E35" s="986"/>
      <c r="F35" s="987"/>
      <c r="G35" s="16"/>
      <c r="H35" s="16"/>
      <c r="I35" s="16"/>
    </row>
    <row r="36" spans="1:10" ht="12.75" customHeight="1" x14ac:dyDescent="0.2">
      <c r="A36" s="33"/>
      <c r="B36" s="973" t="s">
        <v>301</v>
      </c>
      <c r="C36" s="975"/>
      <c r="D36" s="713"/>
      <c r="E36" s="714">
        <f ca="1">CC_Residenziale+CC_CommercioTerziario</f>
        <v>0</v>
      </c>
      <c r="F36" s="52"/>
      <c r="G36" s="16"/>
      <c r="H36" s="16"/>
      <c r="I36" s="16"/>
    </row>
    <row r="37" spans="1:10" ht="12.75" customHeight="1" x14ac:dyDescent="0.2">
      <c r="A37" s="33"/>
      <c r="B37" s="965" t="s">
        <v>302</v>
      </c>
      <c r="C37" s="966"/>
      <c r="D37" s="713"/>
      <c r="E37" s="715">
        <f ca="1">cc_CostoCostRecSottProg</f>
        <v>0</v>
      </c>
      <c r="F37" s="52"/>
      <c r="G37" s="16"/>
      <c r="H37" s="16"/>
      <c r="I37" s="16"/>
      <c r="J37"/>
    </row>
    <row r="38" spans="1:10" ht="12.75" customHeight="1" x14ac:dyDescent="0.2">
      <c r="A38" s="33"/>
      <c r="B38" s="965" t="s">
        <v>167</v>
      </c>
      <c r="C38" s="966"/>
      <c r="D38" s="713" t="str">
        <f ca="1">IF(Riepilogo_MaggCostoCostSott&gt;0,IF(Parametri_MaggiorazioneSottotettiCC&gt;0, TEXT(Parametri_MaggiorazioneSottotettiCC,"0%"),"Nessuna"),"")</f>
        <v/>
      </c>
      <c r="E38" s="714">
        <f ca="1">CC_AltriCosti_ValoreMaggCCRecSott</f>
        <v>0</v>
      </c>
      <c r="F38" s="52"/>
      <c r="G38" s="16"/>
      <c r="H38" s="16"/>
      <c r="I38" s="16"/>
      <c r="J38"/>
    </row>
    <row r="39" spans="1:10" ht="12.75" hidden="1" customHeight="1" x14ac:dyDescent="0.2">
      <c r="A39" s="33"/>
      <c r="B39" s="965" t="s">
        <v>169</v>
      </c>
      <c r="C39" s="966"/>
      <c r="D39" s="713" t="str">
        <f>IF(Riepilogo_CC_RiduzionePianoCasa&gt;0,IF(Par_PianoCasa_RidCC&gt;0, TEXT(Par_PianoCasa_RidCC,"0%")&amp;" a dedurre","Nessuna"),"")</f>
        <v/>
      </c>
      <c r="E39" s="715">
        <f>CC_RiduzionePianoCasa</f>
        <v>0</v>
      </c>
      <c r="F39" s="59"/>
      <c r="G39" s="16"/>
      <c r="H39" s="16"/>
      <c r="I39" s="16"/>
      <c r="J39"/>
    </row>
    <row r="40" spans="1:10" ht="12.75" customHeight="1" x14ac:dyDescent="0.2">
      <c r="A40" s="33"/>
      <c r="B40" s="965" t="s">
        <v>365</v>
      </c>
      <c r="C40" s="966"/>
      <c r="D40" s="713" t="str">
        <f>IF(Riepilogo_CC_RiduzioneDensificazione&gt;0,IF(Par_Rid_Densificazione_CC&gt;0, TEXT(Par_Rid_Densificazione_CC,"0%")&amp;" a dedurre","Nessuna"),"")</f>
        <v/>
      </c>
      <c r="E40" s="715">
        <f>CC_RiduzioneDensificazione</f>
        <v>0</v>
      </c>
      <c r="F40" s="59"/>
      <c r="G40" s="16"/>
      <c r="H40" s="16"/>
      <c r="I40" s="16"/>
      <c r="J40"/>
    </row>
    <row r="41" spans="1:10" ht="12.75" customHeight="1" x14ac:dyDescent="0.2">
      <c r="A41" s="33"/>
      <c r="B41" s="965" t="s">
        <v>168</v>
      </c>
      <c r="C41" s="966"/>
      <c r="D41" s="713" t="str">
        <f>IF(CostoCostr_NuovaEdif_corrisposto_concessione_cong+CostoCostr_NuovaEdif_corrisposto_varianti+CostoCostr_Ristrutt_corrisposto_concessione_cong+CostoCostr_Ristrutt_corrisposto_varianti+CostoCostr_Sottotetti_corrisposto_concessione_cong+CostoCostr_Sottotetti_corrisposto_varianti&gt;0," a dedurre","")</f>
        <v/>
      </c>
      <c r="E41" s="715">
        <f>CC_Corrisposto</f>
        <v>0</v>
      </c>
      <c r="F41" s="52"/>
      <c r="G41" s="16"/>
      <c r="H41" s="16"/>
      <c r="I41" s="16"/>
      <c r="J41"/>
    </row>
    <row r="42" spans="1:10" ht="12.75" customHeight="1" x14ac:dyDescent="0.2">
      <c r="A42" s="33"/>
      <c r="B42" s="990" t="s">
        <v>99</v>
      </c>
      <c r="C42" s="991"/>
      <c r="D42" s="713"/>
      <c r="E42" s="717">
        <f ca="1">IF(Riepilogo_CostoCostEsclusoSott+Riepilogo_CostoCostSott+Riepilogo_MaggCostoCostSott-Riepilogo_CC_RiduzionePianoCasa-Riepilogo_CC_RiduzioneDensificazione-Costo_costruzione_Corrisposto&gt;0,Riepilogo_CostoCostEsclusoSott+Riepilogo_CostoCostSott+Riepilogo_MaggCostoCostSott-Riepilogo_CC_RiduzionePianoCasa-Riepilogo_CC_RiduzioneDensificazione-Costo_costruzione_Corrisposto,0)</f>
        <v>0</v>
      </c>
      <c r="F42" s="52"/>
      <c r="G42" s="16"/>
      <c r="H42" s="16"/>
      <c r="I42" s="16"/>
      <c r="J42"/>
    </row>
    <row r="43" spans="1:10" ht="12.75" customHeight="1" x14ac:dyDescent="0.2">
      <c r="A43" s="33"/>
      <c r="B43" s="985" t="s">
        <v>134</v>
      </c>
      <c r="C43" s="986"/>
      <c r="D43" s="986"/>
      <c r="E43" s="986"/>
      <c r="F43" s="987"/>
      <c r="G43" s="16"/>
      <c r="H43" s="16"/>
      <c r="I43" s="16"/>
    </row>
    <row r="44" spans="1:10" ht="12.75" customHeight="1" x14ac:dyDescent="0.2">
      <c r="A44" s="33"/>
      <c r="B44" s="973" t="s">
        <v>166</v>
      </c>
      <c r="C44" s="975"/>
      <c r="D44" s="713"/>
      <c r="E44" s="714">
        <f>ROUND(CostoCostProg_ContributoDovuto-CostoCostStatoFatto_ContributoDovuto,2)</f>
        <v>0</v>
      </c>
      <c r="F44" s="52"/>
      <c r="G44" s="16"/>
      <c r="H44" s="16"/>
      <c r="I44" s="16"/>
    </row>
    <row r="45" spans="1:10" ht="12.75" hidden="1" customHeight="1" x14ac:dyDescent="0.2">
      <c r="A45" s="33"/>
      <c r="B45" s="965" t="s">
        <v>169</v>
      </c>
      <c r="C45" s="966"/>
      <c r="D45" s="713"/>
      <c r="E45" s="715">
        <f>CC_RiduzionePianoCasa_StFatto_Prog</f>
        <v>0</v>
      </c>
      <c r="F45" s="52"/>
      <c r="G45" s="16"/>
      <c r="H45" s="16"/>
      <c r="I45" s="16"/>
    </row>
    <row r="46" spans="1:10" ht="12.75" customHeight="1" x14ac:dyDescent="0.2">
      <c r="A46" s="33"/>
      <c r="B46" s="965" t="s">
        <v>365</v>
      </c>
      <c r="C46" s="966"/>
      <c r="D46" s="713" t="str">
        <f>IF(Riepilogo_CC_RiduzioneDensificazione&gt;0,IF(Par_Rid_Densificazione_CC&gt;0, TEXT(Par_Rid_Densificazione_CC,"0%")&amp;" a dedurre","Nessuna"),"")</f>
        <v/>
      </c>
      <c r="E46" s="715">
        <f>CC_RiduzioneDensificazione_StFatto_Prog</f>
        <v>0</v>
      </c>
      <c r="F46" s="52"/>
      <c r="G46" s="16"/>
      <c r="H46" s="16"/>
      <c r="I46" s="16"/>
    </row>
    <row r="47" spans="1:10" ht="12.75" customHeight="1" x14ac:dyDescent="0.2">
      <c r="A47" s="33"/>
      <c r="B47" s="965" t="s">
        <v>168</v>
      </c>
      <c r="C47" s="966"/>
      <c r="D47" s="713" t="str">
        <f>IF(CostoCostr_NuovaEdif_Prog_corrisposto_concessione_cong+CostoCostr_NuovaEdif_Prog_corrisposto_varianti+CostoCostr_NuovaEdif_StFatto_corrisposto_concessione_cong+CostoCostr_NuovaEdif_StFatto_corrisposto_varianti&gt;0," a dedurre","")</f>
        <v/>
      </c>
      <c r="E47" s="714">
        <f>CostoCostr_Prog_StFatto_corrisposto</f>
        <v>0</v>
      </c>
      <c r="F47" s="52"/>
      <c r="G47" s="16"/>
      <c r="H47" s="16"/>
      <c r="I47" s="16"/>
    </row>
    <row r="48" spans="1:10" ht="12.75" customHeight="1" x14ac:dyDescent="0.2">
      <c r="A48" s="33"/>
      <c r="B48" s="990" t="s">
        <v>99</v>
      </c>
      <c r="C48" s="991"/>
      <c r="D48" s="713"/>
      <c r="E48" s="720">
        <f>IF(RiepilogoCostoCostruzione_StatoFattoProgetto_Dovuto-RiepilogoCostoCostruzione_StatoFattoProgetto_Corrisposto-RiepilogoCostoCostruzione_StatoFattoProgetto_PianoCasa-RiepilogoCostoCostruzione_StatoFattoProgetto_Densifcazione&gt;0,RiepilogoCostoCostruzione_StatoFattoProgetto_Dovuto-RiepilogoCostoCostruzione_StatoFattoProgetto_Corrisposto-RiepilogoCostoCostruzione_StatoFattoProgetto_PianoCasa-RiepilogoCostoCostruzione_StatoFattoProgetto_Densifcazione,0)</f>
        <v>0</v>
      </c>
      <c r="F48" s="52"/>
      <c r="G48" s="16"/>
      <c r="H48" s="16"/>
      <c r="I48" s="16"/>
    </row>
    <row r="49" spans="1:13" ht="12.75" customHeight="1" x14ac:dyDescent="0.2">
      <c r="A49" s="33"/>
      <c r="B49" s="68"/>
      <c r="C49" s="65"/>
      <c r="D49" s="79"/>
      <c r="E49" s="112"/>
      <c r="F49" s="52"/>
      <c r="G49" s="16"/>
      <c r="H49" s="16"/>
      <c r="I49" s="16"/>
    </row>
    <row r="50" spans="1:13" ht="12.75" customHeight="1" x14ac:dyDescent="0.2">
      <c r="A50" s="33"/>
      <c r="B50" s="976" t="s">
        <v>136</v>
      </c>
      <c r="C50" s="977"/>
      <c r="D50" s="713"/>
      <c r="E50" s="719">
        <f ca="1">Riepilogo_CostoCostruzione+Riepilogo_CostoCostruzione_StatoFattoProgetto</f>
        <v>0</v>
      </c>
      <c r="F50" s="52"/>
      <c r="G50" s="16"/>
      <c r="H50" s="16"/>
      <c r="I50" s="16"/>
    </row>
    <row r="51" spans="1:13" ht="12.75" customHeight="1" thickBot="1" x14ac:dyDescent="0.25">
      <c r="A51" s="33"/>
      <c r="B51" s="970"/>
      <c r="C51" s="971"/>
      <c r="D51" s="971"/>
      <c r="E51" s="971"/>
      <c r="F51" s="972"/>
      <c r="G51" s="16"/>
      <c r="H51" s="16"/>
      <c r="I51" s="16"/>
    </row>
    <row r="52" spans="1:13" ht="15" customHeight="1" x14ac:dyDescent="0.2">
      <c r="A52" s="33"/>
      <c r="B52" s="978" t="s">
        <v>99</v>
      </c>
      <c r="C52" s="979"/>
      <c r="D52" s="721"/>
      <c r="E52" s="722">
        <f ca="1">ROUND(Riepilogo_OneriUrbanizzazione+Riepilogo_CostoCostruzione_totale,2)</f>
        <v>0</v>
      </c>
      <c r="F52" s="70"/>
      <c r="J52"/>
    </row>
    <row r="53" spans="1:13" ht="12.75" customHeight="1" thickBot="1" x14ac:dyDescent="0.25">
      <c r="A53" s="33"/>
      <c r="B53" s="71"/>
      <c r="C53" s="56"/>
      <c r="D53" s="56"/>
      <c r="E53" s="58"/>
      <c r="F53" s="67"/>
      <c r="G53"/>
      <c r="H53" s="16"/>
      <c r="I53" s="16"/>
      <c r="J53"/>
    </row>
    <row r="54" spans="1:13" ht="15" customHeight="1" x14ac:dyDescent="0.2">
      <c r="A54" s="33"/>
      <c r="B54" s="980" t="s">
        <v>84</v>
      </c>
      <c r="C54" s="981"/>
      <c r="D54" s="981"/>
      <c r="E54" s="981"/>
      <c r="F54" s="982"/>
      <c r="G54"/>
      <c r="H54" s="16"/>
      <c r="I54" s="16"/>
      <c r="J54"/>
    </row>
    <row r="55" spans="1:13" ht="15" customHeight="1" x14ac:dyDescent="0.2">
      <c r="A55" s="33"/>
      <c r="B55" s="973" t="s">
        <v>290</v>
      </c>
      <c r="C55" s="975"/>
      <c r="D55" s="713"/>
      <c r="E55" s="723">
        <f>CC_Oblazione</f>
        <v>0</v>
      </c>
      <c r="F55" s="553"/>
      <c r="G55"/>
      <c r="H55" s="16"/>
      <c r="I55" s="16"/>
      <c r="J55"/>
    </row>
    <row r="56" spans="1:13" ht="12.75" customHeight="1" x14ac:dyDescent="0.2">
      <c r="A56" s="33"/>
      <c r="B56" s="983" t="str">
        <f>CC_AltriCosti_SanzioneLabel</f>
        <v>Sanzione pecuniaria per interventi in sanatoria</v>
      </c>
      <c r="C56" s="984"/>
      <c r="D56" s="713"/>
      <c r="E56" s="723">
        <f>CC_AltriCosti_Sanzione</f>
        <v>0</v>
      </c>
      <c r="F56" s="52"/>
      <c r="G56"/>
      <c r="H56" s="16"/>
      <c r="I56" s="16"/>
      <c r="J56"/>
    </row>
    <row r="57" spans="1:13" ht="12.75" customHeight="1" x14ac:dyDescent="0.2">
      <c r="A57" s="33"/>
      <c r="B57" s="965" t="s">
        <v>100</v>
      </c>
      <c r="C57" s="966"/>
      <c r="D57" s="713"/>
      <c r="E57" s="714">
        <f>Co_MonAreeStand</f>
        <v>0</v>
      </c>
      <c r="F57" s="52"/>
      <c r="G57"/>
      <c r="H57" s="16"/>
      <c r="I57" s="16"/>
    </row>
    <row r="58" spans="1:13" ht="12.75" customHeight="1" x14ac:dyDescent="0.2">
      <c r="A58" s="33"/>
      <c r="B58" s="965" t="s">
        <v>78</v>
      </c>
      <c r="C58" s="966"/>
      <c r="D58" s="713"/>
      <c r="E58" s="715">
        <f>Co_MonAreeParc</f>
        <v>0</v>
      </c>
      <c r="F58" s="52"/>
      <c r="G58"/>
    </row>
    <row r="59" spans="1:13" ht="12.75" customHeight="1" x14ac:dyDescent="0.2">
      <c r="A59" s="33"/>
      <c r="B59" s="965" t="s">
        <v>337</v>
      </c>
      <c r="C59" s="966"/>
      <c r="D59" s="713" t="str">
        <f>IF(ConsumoSuolo&lt;&gt;"No",IF(ConsumoSuolo&gt;0, TEXT(ConsumoSuolo,"0%"),"Nessuna"),"")</f>
        <v/>
      </c>
      <c r="E59" s="715">
        <f>CC_MaggConsumoSuolo</f>
        <v>0</v>
      </c>
      <c r="F59" s="52"/>
      <c r="G59"/>
    </row>
    <row r="60" spans="1:13" ht="12.75" customHeight="1" x14ac:dyDescent="0.2">
      <c r="A60" s="33"/>
      <c r="B60" s="988" t="str">
        <f>OnUrb_AltriCosti_DescMaggCostoCAreeAgr</f>
        <v>Maggiorazione sugli oneri di urbanizzazione per Fondo Aree Verdi</v>
      </c>
      <c r="C60" s="989"/>
      <c r="D60" s="713"/>
      <c r="E60" s="714">
        <f>OnUrb_AltriCosti_ValoreMaggCostoCAreeAgr</f>
        <v>0</v>
      </c>
      <c r="F60" s="52"/>
      <c r="G60"/>
      <c r="H60" s="16"/>
      <c r="I60" s="16"/>
    </row>
    <row r="61" spans="1:13" s="11" customFormat="1" ht="12.75" customHeight="1" x14ac:dyDescent="0.2">
      <c r="A61" s="19"/>
      <c r="B61" s="988" t="str">
        <f>CC_AltriCosti_DescMaggCostoCAreeAgr</f>
        <v>Maggiorazione sul costo di costruzione per Fondo Aree Verdi</v>
      </c>
      <c r="C61" s="989"/>
      <c r="D61" s="713"/>
      <c r="E61" s="715">
        <f>CC_AltriCosti_ValoreMaggCostoCAreeAgr</f>
        <v>0</v>
      </c>
      <c r="F61" s="52"/>
      <c r="G61"/>
      <c r="H61" s="12"/>
      <c r="I61" s="5"/>
      <c r="J61" s="763">
        <f>IF(Ou_NuovaEd_AreaAgricola="Sì",((ImportoCostoCostruzione+ImportoOneriUrbanizzazione)*Par_Maggiorazione_AreeAgric)/100,0)</f>
        <v>0</v>
      </c>
      <c r="K61" s="13"/>
      <c r="L61" s="16"/>
      <c r="M61" s="16"/>
    </row>
    <row r="62" spans="1:13" s="11" customFormat="1" ht="12.75" customHeight="1" thickBot="1" x14ac:dyDescent="0.25">
      <c r="A62" s="19"/>
      <c r="B62" s="970"/>
      <c r="C62" s="971"/>
      <c r="D62" s="971"/>
      <c r="E62" s="971"/>
      <c r="F62" s="972"/>
      <c r="G62"/>
      <c r="H62" s="42"/>
      <c r="I62" s="5"/>
      <c r="J62" s="43"/>
      <c r="K62" s="44"/>
      <c r="L62" s="16"/>
      <c r="M62" s="16"/>
    </row>
    <row r="63" spans="1:13" ht="15" customHeight="1" x14ac:dyDescent="0.2">
      <c r="A63" s="33"/>
      <c r="B63" s="978" t="s">
        <v>99</v>
      </c>
      <c r="C63" s="979"/>
      <c r="D63" s="721"/>
      <c r="E63" s="722">
        <f>Riepilogo_Oblazione+Riepilogo_Sanzione+Riepilogo_MonetizzAreeStand+Riepilogo_MonetizzParcheggi+Riepilogo_MaggCostoCostConsumoSuolo+Riepilogo_OnUrb_AltriCosti_ValoreMaggCostoCAreeAgr+Riepilogo_CC_AltriCosti_ValoreMaggCostoCAreeAgr</f>
        <v>0</v>
      </c>
      <c r="F63" s="70"/>
      <c r="G63"/>
    </row>
    <row r="64" spans="1:13" ht="12.75" customHeight="1" x14ac:dyDescent="0.2">
      <c r="A64" s="33"/>
      <c r="B64" s="56"/>
      <c r="C64" s="56"/>
      <c r="D64" s="56"/>
      <c r="E64" s="58"/>
      <c r="F64" s="24"/>
      <c r="G64"/>
    </row>
    <row r="65" spans="1:7" ht="15" customHeight="1" x14ac:dyDescent="0.2">
      <c r="A65" s="30"/>
      <c r="B65" s="992" t="s">
        <v>171</v>
      </c>
      <c r="C65" s="993"/>
      <c r="D65" s="713"/>
      <c r="E65" s="724">
        <f ca="1">Complessivo_ConMagg</f>
        <v>0</v>
      </c>
      <c r="F65" s="72"/>
      <c r="G65"/>
    </row>
    <row r="66" spans="1:7" ht="12.75" customHeight="1" thickBot="1" x14ac:dyDescent="0.25">
      <c r="A66" s="24"/>
      <c r="B66" s="67"/>
      <c r="C66" s="67"/>
      <c r="D66" s="67"/>
      <c r="E66" s="67"/>
      <c r="F66" s="67"/>
      <c r="G66"/>
    </row>
    <row r="67" spans="1:7" ht="15" customHeight="1" x14ac:dyDescent="0.2">
      <c r="A67" s="32"/>
      <c r="B67" s="980" t="s">
        <v>173</v>
      </c>
      <c r="C67" s="981"/>
      <c r="D67" s="981"/>
      <c r="E67" s="981"/>
      <c r="F67" s="982"/>
    </row>
    <row r="68" spans="1:7" ht="12.75" customHeight="1" x14ac:dyDescent="0.2">
      <c r="A68" s="24"/>
      <c r="B68" s="973" t="s">
        <v>235</v>
      </c>
      <c r="C68" s="975"/>
      <c r="D68" s="725"/>
      <c r="E68" s="726">
        <f>DetCL_DettContCostoCost_SommaIncrementi</f>
        <v>0</v>
      </c>
      <c r="F68" s="52"/>
    </row>
    <row r="69" spans="1:7" ht="12.75" customHeight="1" x14ac:dyDescent="0.2">
      <c r="A69" s="24"/>
      <c r="B69" s="965" t="s">
        <v>236</v>
      </c>
      <c r="C69" s="966"/>
      <c r="D69" s="725"/>
      <c r="E69" s="727" t="str">
        <f>IF(DetCL_DettContCostoCost_SommaIncrementi&gt;0,DetClasse_CostoCostruzClasse,"")</f>
        <v/>
      </c>
      <c r="F69" s="52"/>
    </row>
    <row r="70" spans="1:7" ht="12.75" customHeight="1" x14ac:dyDescent="0.2">
      <c r="A70" s="24"/>
      <c r="B70" s="965" t="s">
        <v>237</v>
      </c>
      <c r="C70" s="966"/>
      <c r="D70" s="725"/>
      <c r="E70" s="728">
        <f ca="1">DetClasse_Maggiorazione</f>
        <v>0</v>
      </c>
      <c r="F70" s="52"/>
    </row>
    <row r="71" spans="1:7" ht="12.75" customHeight="1" x14ac:dyDescent="0.2">
      <c r="A71" s="24"/>
      <c r="B71" s="965" t="s">
        <v>373</v>
      </c>
      <c r="C71" s="966"/>
      <c r="D71" s="725"/>
      <c r="E71" s="729">
        <f>CostoCost_NuovaCost_SupCompl_Res</f>
        <v>0</v>
      </c>
      <c r="F71" s="52"/>
    </row>
    <row r="72" spans="1:7" ht="12.75" customHeight="1" x14ac:dyDescent="0.2">
      <c r="A72" s="24"/>
      <c r="B72" s="965" t="s">
        <v>375</v>
      </c>
      <c r="C72" s="966"/>
      <c r="D72" s="725"/>
      <c r="E72" s="729">
        <f>CostoCost_NuovaCost_SupCompl_CommTerz</f>
        <v>0</v>
      </c>
      <c r="F72" s="52"/>
    </row>
    <row r="73" spans="1:7" ht="12.75" customHeight="1" x14ac:dyDescent="0.2">
      <c r="A73" s="24"/>
      <c r="B73" s="965" t="s">
        <v>376</v>
      </c>
      <c r="C73" s="966"/>
      <c r="D73" s="725"/>
      <c r="E73" s="729">
        <f>CostoCost_Rist_SupCompl_Res</f>
        <v>0</v>
      </c>
      <c r="F73" s="52"/>
    </row>
    <row r="74" spans="1:7" ht="12.75" customHeight="1" x14ac:dyDescent="0.2">
      <c r="A74" s="24"/>
      <c r="B74" s="965" t="s">
        <v>374</v>
      </c>
      <c r="C74" s="966"/>
      <c r="D74" s="725"/>
      <c r="E74" s="729">
        <f>CostoCost_Rist_SupCompl_CommTerz</f>
        <v>0</v>
      </c>
      <c r="F74" s="52"/>
    </row>
    <row r="75" spans="1:7" ht="12.75" customHeight="1" x14ac:dyDescent="0.2">
      <c r="A75" s="24"/>
      <c r="B75" s="965" t="s">
        <v>238</v>
      </c>
      <c r="C75" s="966"/>
      <c r="D75" s="725"/>
      <c r="E75" s="729">
        <f>CostoCost_Sot_SupCompl</f>
        <v>0</v>
      </c>
      <c r="F75" s="52"/>
    </row>
    <row r="76" spans="1:7" ht="12.75" customHeight="1" thickBot="1" x14ac:dyDescent="0.3">
      <c r="A76" s="31"/>
      <c r="B76" s="967"/>
      <c r="C76" s="968"/>
      <c r="D76" s="968"/>
      <c r="E76" s="968"/>
      <c r="F76" s="969"/>
    </row>
    <row r="77" spans="1:7" ht="12.75" customHeight="1" thickBot="1" x14ac:dyDescent="0.25">
      <c r="A77" s="24"/>
      <c r="B77" s="69"/>
      <c r="C77" s="69"/>
      <c r="D77" s="69"/>
      <c r="E77" s="73"/>
      <c r="F77" s="69"/>
    </row>
    <row r="78" spans="1:7" ht="15" customHeight="1" x14ac:dyDescent="0.2">
      <c r="A78" s="32"/>
      <c r="B78" s="980" t="s">
        <v>262</v>
      </c>
      <c r="C78" s="981"/>
      <c r="D78" s="981"/>
      <c r="E78" s="981"/>
      <c r="F78" s="982"/>
    </row>
    <row r="79" spans="1:7" ht="12.75" customHeight="1" x14ac:dyDescent="0.2">
      <c r="A79" s="24"/>
      <c r="B79" s="973" t="s">
        <v>234</v>
      </c>
      <c r="C79" s="975"/>
      <c r="D79" s="725"/>
      <c r="E79" s="730">
        <f>Volume_Recupero_Sottotetti</f>
        <v>0</v>
      </c>
      <c r="F79" s="52"/>
    </row>
    <row r="80" spans="1:7" ht="12.75" customHeight="1" x14ac:dyDescent="0.2">
      <c r="A80" s="24"/>
      <c r="B80" s="965" t="s">
        <v>233</v>
      </c>
      <c r="C80" s="966"/>
      <c r="D80" s="725"/>
      <c r="E80" s="731">
        <f>COUNTIF(Calcolo_sup_parcheggi_tot_volume_UIU,"&gt;0")</f>
        <v>0</v>
      </c>
      <c r="F80" s="52"/>
    </row>
    <row r="81" spans="1:6" ht="12.75" customHeight="1" x14ac:dyDescent="0.2">
      <c r="A81" s="24"/>
      <c r="B81" s="965" t="s">
        <v>263</v>
      </c>
      <c r="C81" s="966"/>
      <c r="D81" s="725"/>
      <c r="E81" s="729">
        <f>Parcheggio_Recupero_Sottotetti</f>
        <v>0</v>
      </c>
      <c r="F81" s="52"/>
    </row>
    <row r="82" spans="1:6" ht="12.75" customHeight="1" thickBot="1" x14ac:dyDescent="0.25">
      <c r="A82" s="35"/>
      <c r="B82" s="62"/>
      <c r="C82" s="63"/>
      <c r="D82" s="63"/>
      <c r="E82" s="63"/>
      <c r="F82" s="61"/>
    </row>
    <row r="83" spans="1:6" ht="12.75" customHeight="1" x14ac:dyDescent="0.2">
      <c r="A83" s="24"/>
      <c r="B83" s="2"/>
      <c r="C83" s="2"/>
      <c r="D83" s="2"/>
      <c r="E83" s="2"/>
      <c r="F83" s="2"/>
    </row>
    <row r="84" spans="1:6" hidden="1" x14ac:dyDescent="0.2">
      <c r="A84" s="24"/>
      <c r="B84" s="2"/>
      <c r="C84" s="2"/>
      <c r="D84" s="2"/>
      <c r="E84" s="2"/>
      <c r="F84" s="2"/>
    </row>
    <row r="85" spans="1:6" hidden="1" x14ac:dyDescent="0.2">
      <c r="A85" s="24"/>
      <c r="B85" s="2"/>
      <c r="C85" s="2"/>
      <c r="D85" s="2"/>
      <c r="E85" s="2"/>
      <c r="F85" s="2"/>
    </row>
    <row r="86" spans="1:6" hidden="1" x14ac:dyDescent="0.2">
      <c r="A86" s="24"/>
      <c r="B86" s="2"/>
      <c r="C86" s="2"/>
      <c r="D86" s="2"/>
      <c r="E86" s="2"/>
      <c r="F86" s="2"/>
    </row>
    <row r="87" spans="1:6" hidden="1" x14ac:dyDescent="0.2">
      <c r="A87" s="36"/>
    </row>
    <row r="88" spans="1:6" hidden="1" x14ac:dyDescent="0.2">
      <c r="A88" s="1"/>
    </row>
    <row r="89" spans="1:6" hidden="1" x14ac:dyDescent="0.2">
      <c r="A89" s="1"/>
    </row>
    <row r="90" spans="1:6" hidden="1" x14ac:dyDescent="0.2">
      <c r="A90" s="1"/>
    </row>
    <row r="91" spans="1:6" hidden="1" x14ac:dyDescent="0.2">
      <c r="A91" s="1"/>
    </row>
    <row r="92" spans="1:6" hidden="1" x14ac:dyDescent="0.2">
      <c r="A92" s="1"/>
    </row>
    <row r="93" spans="1:6" hidden="1" x14ac:dyDescent="0.2">
      <c r="A93" s="1"/>
    </row>
    <row r="94" spans="1:6" hidden="1" x14ac:dyDescent="0.2">
      <c r="A94" s="1"/>
    </row>
    <row r="95" spans="1:6" hidden="1" x14ac:dyDescent="0.2">
      <c r="A95" s="1"/>
    </row>
    <row r="96" spans="1:6" hidden="1" x14ac:dyDescent="0.2">
      <c r="A96" s="1"/>
    </row>
    <row r="97" spans="1:1" hidden="1" x14ac:dyDescent="0.2">
      <c r="A97" s="1"/>
    </row>
    <row r="98" spans="1:1" hidden="1" x14ac:dyDescent="0.2">
      <c r="A98" s="1"/>
    </row>
    <row r="99" spans="1:1" hidden="1" x14ac:dyDescent="0.2">
      <c r="A99" s="1"/>
    </row>
    <row r="100" spans="1:1" hidden="1" x14ac:dyDescent="0.2">
      <c r="A100" s="1"/>
    </row>
    <row r="101" spans="1:1" hidden="1" x14ac:dyDescent="0.2">
      <c r="A101" s="1"/>
    </row>
    <row r="102" spans="1:1" hidden="1" x14ac:dyDescent="0.2">
      <c r="A102" s="1"/>
    </row>
    <row r="103" spans="1:1" hidden="1" x14ac:dyDescent="0.2">
      <c r="A103" s="1"/>
    </row>
    <row r="104" spans="1:1" hidden="1" x14ac:dyDescent="0.2">
      <c r="A104" s="1"/>
    </row>
    <row r="105" spans="1:1" hidden="1" x14ac:dyDescent="0.2">
      <c r="A105" s="1"/>
    </row>
    <row r="106" spans="1:1" hidden="1" x14ac:dyDescent="0.2">
      <c r="A106" s="1"/>
    </row>
    <row r="107" spans="1:1" hidden="1" x14ac:dyDescent="0.2">
      <c r="A107" s="1"/>
    </row>
    <row r="108" spans="1:1" hidden="1" x14ac:dyDescent="0.2">
      <c r="A108" s="1"/>
    </row>
    <row r="109" spans="1:1" hidden="1" x14ac:dyDescent="0.2">
      <c r="A109" s="1"/>
    </row>
    <row r="110" spans="1:1" hidden="1" x14ac:dyDescent="0.2">
      <c r="A110" s="1"/>
    </row>
    <row r="111" spans="1:1" hidden="1" x14ac:dyDescent="0.2">
      <c r="A111" s="1"/>
    </row>
    <row r="112" spans="1:1" hidden="1" x14ac:dyDescent="0.2">
      <c r="A112" s="1"/>
    </row>
    <row r="113" spans="1:1" hidden="1" x14ac:dyDescent="0.2">
      <c r="A113" s="1"/>
    </row>
    <row r="114" spans="1:1" hidden="1" x14ac:dyDescent="0.2">
      <c r="A114" s="1"/>
    </row>
    <row r="115" spans="1:1" hidden="1" x14ac:dyDescent="0.2">
      <c r="A115" s="1"/>
    </row>
    <row r="116" spans="1:1" hidden="1" x14ac:dyDescent="0.2">
      <c r="A116" s="1"/>
    </row>
    <row r="117" spans="1:1" hidden="1" x14ac:dyDescent="0.2">
      <c r="A117" s="1"/>
    </row>
    <row r="118" spans="1:1" hidden="1" x14ac:dyDescent="0.2">
      <c r="A118" s="1"/>
    </row>
    <row r="119" spans="1:1" hidden="1" x14ac:dyDescent="0.2">
      <c r="A119" s="1"/>
    </row>
    <row r="120" spans="1:1" hidden="1" x14ac:dyDescent="0.2">
      <c r="A120" s="1"/>
    </row>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71" x14ac:dyDescent="0.2"/>
    <row r="172" x14ac:dyDescent="0.2"/>
    <row r="173" x14ac:dyDescent="0.2"/>
    <row r="174" x14ac:dyDescent="0.2"/>
  </sheetData>
  <sheetProtection sheet="1" formatColumns="0" formatRows="0" insertRows="0"/>
  <mergeCells count="73">
    <mergeCell ref="B41:C41"/>
    <mergeCell ref="B20:C20"/>
    <mergeCell ref="B33:C33"/>
    <mergeCell ref="B12:C12"/>
    <mergeCell ref="B17:C17"/>
    <mergeCell ref="B72:C72"/>
    <mergeCell ref="B74:C74"/>
    <mergeCell ref="B21:C21"/>
    <mergeCell ref="B24:C24"/>
    <mergeCell ref="B23:C23"/>
    <mergeCell ref="B19:C19"/>
    <mergeCell ref="B14:C14"/>
    <mergeCell ref="B15:F15"/>
    <mergeCell ref="B55:C55"/>
    <mergeCell ref="B63:C63"/>
    <mergeCell ref="B65:C65"/>
    <mergeCell ref="B56:C56"/>
    <mergeCell ref="B47:C47"/>
    <mergeCell ref="B48:C48"/>
    <mergeCell ref="B2:F2"/>
    <mergeCell ref="B4:C4"/>
    <mergeCell ref="B6:C6"/>
    <mergeCell ref="B7:C7"/>
    <mergeCell ref="B11:C11"/>
    <mergeCell ref="B10:C10"/>
    <mergeCell ref="B3:F3"/>
    <mergeCell ref="B8:C8"/>
    <mergeCell ref="B5:C5"/>
    <mergeCell ref="B9:C9"/>
    <mergeCell ref="B26:C26"/>
    <mergeCell ref="B27:F27"/>
    <mergeCell ref="B70:C70"/>
    <mergeCell ref="B75:C75"/>
    <mergeCell ref="B59:C59"/>
    <mergeCell ref="B67:F67"/>
    <mergeCell ref="B71:C71"/>
    <mergeCell ref="B61:C61"/>
    <mergeCell ref="B73:C73"/>
    <mergeCell ref="B42:C42"/>
    <mergeCell ref="B35:F35"/>
    <mergeCell ref="B40:C40"/>
    <mergeCell ref="B36:C36"/>
    <mergeCell ref="B37:C37"/>
    <mergeCell ref="B39:C39"/>
    <mergeCell ref="B28:C28"/>
    <mergeCell ref="B43:F43"/>
    <mergeCell ref="B81:C81"/>
    <mergeCell ref="B78:F78"/>
    <mergeCell ref="B79:C79"/>
    <mergeCell ref="B58:C58"/>
    <mergeCell ref="B60:C60"/>
    <mergeCell ref="B80:C80"/>
    <mergeCell ref="B68:C68"/>
    <mergeCell ref="B69:C69"/>
    <mergeCell ref="B52:C52"/>
    <mergeCell ref="B54:F54"/>
    <mergeCell ref="B57:C57"/>
    <mergeCell ref="G7:G8"/>
    <mergeCell ref="B29:C29"/>
    <mergeCell ref="B76:F76"/>
    <mergeCell ref="B62:F62"/>
    <mergeCell ref="B51:F51"/>
    <mergeCell ref="B13:C13"/>
    <mergeCell ref="B25:C25"/>
    <mergeCell ref="B44:C44"/>
    <mergeCell ref="B38:C38"/>
    <mergeCell ref="B50:C50"/>
    <mergeCell ref="B45:C45"/>
    <mergeCell ref="B46:C46"/>
    <mergeCell ref="B16:C16"/>
    <mergeCell ref="B22:C22"/>
    <mergeCell ref="B30:C30"/>
    <mergeCell ref="B18:C18"/>
  </mergeCells>
  <hyperlinks>
    <hyperlink ref="G7" location="'Procedura guidata'!A1" display="Torna alla procedura guidata!" xr:uid="{00000000-0004-0000-0100-000000000000}"/>
  </hyperlinks>
  <printOptions horizontalCentered="1"/>
  <pageMargins left="0.11811023622047245" right="0.11811023622047245" top="0.15748031496062992" bottom="0.15748031496062992"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2">
    <pageSetUpPr fitToPage="1"/>
  </sheetPr>
  <dimension ref="A1:IV194"/>
  <sheetViews>
    <sheetView showGridLines="0" showZeros="0" topLeftCell="A154" zoomScale="90" zoomScaleNormal="90" workbookViewId="0"/>
  </sheetViews>
  <sheetFormatPr defaultColWidth="0" defaultRowHeight="12.75" zeroHeight="1" x14ac:dyDescent="0.2"/>
  <cols>
    <col min="1" max="1" width="5.7109375" customWidth="1"/>
    <col min="2" max="2" width="32.28515625" customWidth="1"/>
    <col min="3" max="3" width="7" customWidth="1"/>
    <col min="4" max="4" width="16.7109375" customWidth="1"/>
    <col min="5" max="5" width="2.28515625" customWidth="1"/>
    <col min="6" max="6" width="16.7109375" customWidth="1"/>
    <col min="7" max="7" width="10.28515625" customWidth="1"/>
    <col min="8" max="8" width="16.7109375" customWidth="1"/>
    <col min="9" max="9" width="2.28515625" customWidth="1"/>
    <col min="10" max="10" width="16.7109375" customWidth="1"/>
    <col min="11" max="11" width="10.28515625" customWidth="1"/>
    <col min="12" max="12" width="16.7109375" customWidth="1"/>
    <col min="13" max="13" width="2.28515625" customWidth="1"/>
    <col min="14" max="14" width="16.7109375" customWidth="1"/>
    <col min="15" max="15" width="2.28515625" customWidth="1"/>
    <col min="16" max="16" width="13.7109375" customWidth="1"/>
    <col min="17" max="17" width="12.7109375" customWidth="1"/>
    <col min="18" max="18" width="1.85546875" customWidth="1"/>
    <col min="19" max="19" width="18.7109375" customWidth="1"/>
  </cols>
  <sheetData>
    <row r="1" spans="1:256" s="2" customFormat="1" ht="12.75" customHeight="1" thickBot="1" x14ac:dyDescent="0.25">
      <c r="A1" s="24"/>
      <c r="B1" s="41"/>
      <c r="C1" s="27"/>
      <c r="D1" s="27"/>
      <c r="E1" s="27"/>
      <c r="F1" s="27"/>
      <c r="G1" s="27"/>
      <c r="H1" s="27"/>
      <c r="I1" s="27"/>
      <c r="J1" s="27"/>
      <c r="K1" s="27"/>
      <c r="L1" s="27"/>
      <c r="M1" s="27"/>
      <c r="N1" s="27"/>
      <c r="O1" s="27"/>
      <c r="P1" s="24"/>
      <c r="Q1" s="28"/>
      <c r="R1" s="28"/>
    </row>
    <row r="2" spans="1:256" s="9" customFormat="1" ht="15" customHeight="1" x14ac:dyDescent="0.25">
      <c r="A2" s="29"/>
      <c r="B2" s="1043" t="s">
        <v>186</v>
      </c>
      <c r="C2" s="1044"/>
      <c r="D2" s="1044"/>
      <c r="E2" s="1044"/>
      <c r="F2" s="1044"/>
      <c r="G2" s="1044"/>
      <c r="H2" s="1044"/>
      <c r="I2" s="1044"/>
      <c r="J2" s="1044"/>
      <c r="K2" s="1044"/>
      <c r="L2" s="1044"/>
      <c r="M2" s="1044"/>
      <c r="N2" s="1044"/>
      <c r="O2" s="1044"/>
      <c r="P2" s="1044"/>
      <c r="Q2" s="1044"/>
      <c r="R2" s="1045"/>
      <c r="S2" s="14"/>
    </row>
    <row r="3" spans="1:256" s="10" customFormat="1" ht="24.95" customHeight="1" x14ac:dyDescent="0.25">
      <c r="A3" s="25"/>
      <c r="B3" s="113"/>
      <c r="C3" s="114"/>
      <c r="D3" s="1050" t="s">
        <v>4</v>
      </c>
      <c r="E3" s="1050"/>
      <c r="F3" s="1050"/>
      <c r="G3" s="115"/>
      <c r="H3" s="1051" t="s">
        <v>397</v>
      </c>
      <c r="I3" s="1051"/>
      <c r="J3" s="1051"/>
      <c r="K3" s="837"/>
      <c r="L3" s="1051" t="s">
        <v>398</v>
      </c>
      <c r="M3" s="1051"/>
      <c r="N3" s="1051"/>
      <c r="O3" s="135"/>
      <c r="P3" s="1057" t="s">
        <v>99</v>
      </c>
      <c r="Q3" s="1057"/>
      <c r="R3" s="117"/>
      <c r="S3" s="15"/>
    </row>
    <row r="4" spans="1:256" s="192" customFormat="1" ht="20.100000000000001" customHeight="1" x14ac:dyDescent="0.2">
      <c r="A4" s="185"/>
      <c r="B4" s="1005" t="str">
        <f>Parametri_DestUsoPersonalizzazione1 &amp; IF(EdiliziaConvenzionata="No",""," edilizia convenzionata")</f>
        <v>Residenziale</v>
      </c>
      <c r="C4" s="1006"/>
      <c r="D4" s="996">
        <f>Ou_Cost_Res_NuovaEdif</f>
        <v>0</v>
      </c>
      <c r="E4" s="997"/>
      <c r="F4" s="997"/>
      <c r="G4" s="187"/>
      <c r="H4" s="997">
        <f>Ou_Rist_Res</f>
        <v>0</v>
      </c>
      <c r="I4" s="997"/>
      <c r="J4" s="997"/>
      <c r="K4" s="851"/>
      <c r="L4" s="997">
        <f>Ou_Rist_Res_Sost</f>
        <v>0</v>
      </c>
      <c r="M4" s="997"/>
      <c r="N4" s="997"/>
      <c r="O4" s="188"/>
      <c r="P4" s="189"/>
      <c r="Q4" s="189"/>
      <c r="R4" s="190"/>
      <c r="S4" s="191"/>
    </row>
    <row r="5" spans="1:256" s="11" customFormat="1" ht="12.75" customHeight="1" x14ac:dyDescent="0.2">
      <c r="A5" s="19"/>
      <c r="B5" s="1000" t="s">
        <v>79</v>
      </c>
      <c r="C5" s="1001"/>
      <c r="D5" s="733">
        <f>IF(ISERROR(MATCH(ZonaTerritoriale,ElencoZone,0))=TRUE,0,INDEX(MatriceParametri,MATCH(ZonaTerritoriale,ElencoZone,0),IF(DatiGen_ResidenzialeClasseA="No",1,3)))</f>
        <v>4</v>
      </c>
      <c r="E5" s="94"/>
      <c r="F5" s="736">
        <f>PRODUCT(D4,D5)</f>
        <v>0</v>
      </c>
      <c r="G5" s="107"/>
      <c r="H5" s="733">
        <f>IF(ISERROR(MATCH(ZonaTerritoriale,ElencoZone,0))=TRUE,0,INDEX(MatriceParametri,MATCH(ZonaTerritoriale,ElencoZone,0),IF(DatiGen_ResidenzialeClasseA="No",2,4)))</f>
        <v>1.6</v>
      </c>
      <c r="I5" s="94"/>
      <c r="J5" s="736">
        <f>PRODUCT(H4,H5)</f>
        <v>0</v>
      </c>
      <c r="K5" s="854"/>
      <c r="L5" s="734">
        <f>IF(ISERROR(MATCH(ZonaTerritoriale,ElencoZone,0))=TRUE,0,INDEX(MatriceParametri,MATCH(ZonaTerritoriale,ElencoZone,0),IF(DatiGen_ResidenzialeClasseA="No",3,5)))</f>
        <v>2</v>
      </c>
      <c r="M5" s="826"/>
      <c r="N5" s="737">
        <f>PRODUCT(L4,L5)</f>
        <v>0</v>
      </c>
      <c r="O5" s="671"/>
      <c r="P5" s="994">
        <f>ROUND(SUM(F5,J5,N5),2)</f>
        <v>0</v>
      </c>
      <c r="Q5" s="995"/>
      <c r="R5" s="732">
        <f>SUM(F5,J5)*DescInt_RisparmioPercent</f>
        <v>0</v>
      </c>
      <c r="S5" s="964" t="s">
        <v>242</v>
      </c>
    </row>
    <row r="6" spans="1:256" s="11" customFormat="1" ht="12.75" customHeight="1" x14ac:dyDescent="0.2">
      <c r="A6" s="19"/>
      <c r="B6" s="1002" t="s">
        <v>80</v>
      </c>
      <c r="C6" s="1003"/>
      <c r="D6" s="734">
        <f>IF(ISERROR(MATCH(ZonaTerritoriale,ElencoZone,0))=TRUE,0,INDEX(MatriceParametri,MATCH(ZonaTerritoriale,ElencoZone,0)+1,IF(DatiGen_ResidenzialeClasseA="No",1,3)))</f>
        <v>8</v>
      </c>
      <c r="E6" s="94"/>
      <c r="F6" s="737">
        <f>PRODUCT(D4,D6)</f>
        <v>0</v>
      </c>
      <c r="G6" s="20"/>
      <c r="H6" s="738">
        <f>IF(ISERROR(MATCH(ZonaTerritoriale,ElencoZone,0))=TRUE,0,INDEX(MatriceParametri,MATCH(ZonaTerritoriale,ElencoZone,0)+1,IF(DatiGen_ResidenzialeClasseA="No",2,4)))</f>
        <v>3.2</v>
      </c>
      <c r="I6" s="94"/>
      <c r="J6" s="737">
        <f>PRODUCT(H4,H6)</f>
        <v>0</v>
      </c>
      <c r="K6" s="853"/>
      <c r="L6" s="738">
        <f>IF(ISERROR(MATCH(ZonaTerritoriale,ElencoZone,0))=TRUE,0,INDEX(MatriceParametri,MATCH(ZonaTerritoriale,ElencoZone,0)+1,IF(DatiGen_ResidenzialeClasseA="No",3,5)))</f>
        <v>4</v>
      </c>
      <c r="M6" s="94"/>
      <c r="N6" s="737">
        <f>PRODUCT(L4,L6)</f>
        <v>0</v>
      </c>
      <c r="O6" s="673"/>
      <c r="P6" s="994">
        <f>ROUND(SUM(F6,J6,N6),2)</f>
        <v>0</v>
      </c>
      <c r="Q6" s="995"/>
      <c r="R6" s="732">
        <f>SUM(F6,J6)*DescInt_RisparmioPercent</f>
        <v>0</v>
      </c>
      <c r="S6" s="964"/>
    </row>
    <row r="7" spans="1:256" s="11" customFormat="1" ht="12.75" customHeight="1" x14ac:dyDescent="0.2">
      <c r="A7" s="19"/>
      <c r="B7" s="1002" t="s">
        <v>81</v>
      </c>
      <c r="C7" s="1003"/>
      <c r="D7" s="735">
        <f>IF(ISERROR(MATCH(ZonaTerritoriale,ElencoZone,0))=TRUE,0,INDEX(MatriceParametri,MATCH(ZonaTerritoriale,ElencoZone,0)+2,IF(DatiGen_ResidenzialeClasseA="No",1,3)))</f>
        <v>0</v>
      </c>
      <c r="E7" s="94"/>
      <c r="F7" s="737">
        <f>PRODUCT(D4,D7)</f>
        <v>0</v>
      </c>
      <c r="G7" s="20"/>
      <c r="H7" s="735">
        <f>IF(ISERROR(MATCH(ZonaTerritoriale,ElencoZone,0))=TRUE,0,INDEX(MatriceParametri,MATCH(ZonaTerritoriale,ElencoZone,0)+2,IF(DatiGen_ResidenzialeClasseA="No",2,4)))</f>
        <v>0</v>
      </c>
      <c r="I7" s="94"/>
      <c r="J7" s="737">
        <f>PRODUCT(H4,H7)</f>
        <v>0</v>
      </c>
      <c r="K7" s="853"/>
      <c r="L7" s="735">
        <f>IF(ISERROR(MATCH(ZonaTerritoriale,ElencoZone,0))=TRUE,0,INDEX(MatriceParametri,MATCH(ZonaTerritoriale,ElencoZone,0)+2,IF(DatiGen_ResidenzialeClasseA="No",3,5)))</f>
        <v>0</v>
      </c>
      <c r="M7" s="94"/>
      <c r="N7" s="737">
        <f>PRODUCT(L4,L7)</f>
        <v>0</v>
      </c>
      <c r="O7" s="673"/>
      <c r="P7" s="994">
        <f>ROUND(SUM(F7,J7,N7),2)</f>
        <v>0</v>
      </c>
      <c r="Q7" s="995"/>
      <c r="R7" s="92"/>
      <c r="S7" s="16"/>
    </row>
    <row r="8" spans="1:256" s="192" customFormat="1" ht="20.100000000000001" customHeight="1" x14ac:dyDescent="0.2">
      <c r="A8" s="185"/>
      <c r="B8" s="1005" t="str">
        <f>Parametri_DestUsoPersonalizzazione2</f>
        <v>Commerciale direzionale</v>
      </c>
      <c r="C8" s="1006"/>
      <c r="D8" s="999">
        <f>Ou_Cost_Comm_NuovaEdif</f>
        <v>0</v>
      </c>
      <c r="E8" s="999"/>
      <c r="F8" s="999"/>
      <c r="G8" s="187"/>
      <c r="H8" s="999">
        <f>Ou_Rist_Com</f>
        <v>0</v>
      </c>
      <c r="I8" s="999"/>
      <c r="J8" s="999"/>
      <c r="K8" s="835"/>
      <c r="L8" s="999">
        <f>Ou_Rist_Com_CompMet_Sost</f>
        <v>0</v>
      </c>
      <c r="M8" s="999"/>
      <c r="N8" s="999"/>
      <c r="O8" s="672"/>
      <c r="P8" s="189"/>
      <c r="Q8" s="189"/>
      <c r="R8" s="190"/>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c r="CR8" s="191"/>
      <c r="CS8" s="191"/>
      <c r="CT8" s="191"/>
      <c r="CU8" s="191"/>
      <c r="CV8" s="191"/>
      <c r="CW8" s="191"/>
      <c r="CX8" s="191"/>
      <c r="CY8" s="191"/>
      <c r="CZ8" s="191"/>
      <c r="DA8" s="191"/>
      <c r="DB8" s="191"/>
      <c r="DC8" s="191"/>
      <c r="DD8" s="191"/>
      <c r="DE8" s="191"/>
      <c r="DF8" s="191"/>
      <c r="DG8" s="191"/>
      <c r="DH8" s="191"/>
      <c r="DI8" s="191"/>
      <c r="DJ8" s="191"/>
      <c r="DK8" s="191"/>
      <c r="DL8" s="191"/>
      <c r="DM8" s="191"/>
      <c r="DN8" s="191"/>
      <c r="DO8" s="191"/>
      <c r="DP8" s="191"/>
      <c r="DQ8" s="191"/>
      <c r="DR8" s="191"/>
      <c r="DS8" s="191"/>
      <c r="DT8" s="191"/>
      <c r="DU8" s="191"/>
      <c r="DV8" s="191"/>
      <c r="DW8" s="191"/>
      <c r="DX8" s="191"/>
      <c r="DY8" s="191"/>
      <c r="DZ8" s="191"/>
      <c r="EA8" s="191"/>
      <c r="EB8" s="191"/>
      <c r="EC8" s="191"/>
      <c r="ED8" s="191"/>
      <c r="EE8" s="191"/>
      <c r="EF8" s="191"/>
      <c r="EG8" s="191"/>
      <c r="EH8" s="191"/>
      <c r="EI8" s="191"/>
      <c r="EJ8" s="191"/>
      <c r="EK8" s="191"/>
      <c r="EL8" s="191"/>
      <c r="EM8" s="191"/>
      <c r="EN8" s="191"/>
      <c r="EO8" s="191"/>
      <c r="EP8" s="191"/>
      <c r="EQ8" s="191"/>
      <c r="ER8" s="191"/>
      <c r="ES8" s="191"/>
      <c r="ET8" s="191"/>
      <c r="EU8" s="191"/>
      <c r="EV8" s="191"/>
      <c r="EW8" s="191"/>
      <c r="EX8" s="191"/>
      <c r="EY8" s="191"/>
      <c r="EZ8" s="191"/>
      <c r="FA8" s="191"/>
      <c r="FB8" s="191"/>
      <c r="FC8" s="191"/>
      <c r="FD8" s="191"/>
      <c r="FE8" s="191"/>
      <c r="FF8" s="191"/>
      <c r="FG8" s="191"/>
      <c r="FH8" s="191"/>
      <c r="FI8" s="191"/>
      <c r="FJ8" s="191"/>
      <c r="FK8" s="191"/>
      <c r="FL8" s="191"/>
      <c r="FM8" s="191"/>
      <c r="FN8" s="191"/>
      <c r="FO8" s="191"/>
      <c r="FP8" s="191"/>
      <c r="FQ8" s="191"/>
      <c r="FR8" s="191"/>
      <c r="FS8" s="191"/>
      <c r="FT8" s="191"/>
      <c r="FU8" s="191"/>
      <c r="FV8" s="191"/>
      <c r="FW8" s="191"/>
      <c r="FX8" s="191"/>
      <c r="FY8" s="191"/>
      <c r="FZ8" s="191"/>
      <c r="GA8" s="191"/>
      <c r="GB8" s="191"/>
      <c r="GC8" s="191"/>
      <c r="GD8" s="191"/>
      <c r="GE8" s="191"/>
      <c r="GF8" s="191"/>
      <c r="GG8" s="191"/>
      <c r="GH8" s="191"/>
      <c r="GI8" s="191"/>
      <c r="GJ8" s="191"/>
      <c r="GK8" s="191"/>
      <c r="GL8" s="191"/>
      <c r="GM8" s="191"/>
      <c r="GN8" s="191"/>
      <c r="GO8" s="191"/>
      <c r="GP8" s="191"/>
      <c r="GQ8" s="191"/>
      <c r="GR8" s="191"/>
      <c r="GS8" s="191"/>
      <c r="GT8" s="191"/>
      <c r="GU8" s="191"/>
      <c r="GV8" s="191"/>
      <c r="GW8" s="191"/>
      <c r="GX8" s="191"/>
      <c r="GY8" s="191"/>
      <c r="GZ8" s="191"/>
      <c r="HA8" s="191"/>
      <c r="HB8" s="191"/>
      <c r="HC8" s="191"/>
      <c r="HD8" s="191"/>
      <c r="HE8" s="191"/>
      <c r="HF8" s="191"/>
      <c r="HG8" s="191"/>
      <c r="HH8" s="191"/>
      <c r="HI8" s="191"/>
      <c r="HJ8" s="191"/>
      <c r="HK8" s="191"/>
      <c r="HL8" s="191"/>
      <c r="HM8" s="191"/>
      <c r="HN8" s="191"/>
      <c r="HO8" s="191"/>
      <c r="HP8" s="191"/>
      <c r="HQ8" s="191"/>
      <c r="HR8" s="191"/>
      <c r="HS8" s="191"/>
      <c r="HT8" s="191"/>
      <c r="HU8" s="191"/>
      <c r="HV8" s="191"/>
      <c r="HW8" s="191"/>
      <c r="HX8" s="191"/>
      <c r="HY8" s="191"/>
      <c r="HZ8" s="191"/>
      <c r="IA8" s="191"/>
      <c r="IB8" s="191"/>
      <c r="IC8" s="191"/>
      <c r="ID8" s="191"/>
      <c r="IE8" s="191"/>
      <c r="IF8" s="191"/>
      <c r="IG8" s="191"/>
      <c r="IH8" s="191"/>
      <c r="II8" s="191"/>
      <c r="IJ8" s="191"/>
      <c r="IK8" s="191"/>
      <c r="IL8" s="191"/>
      <c r="IM8" s="191"/>
      <c r="IN8" s="191"/>
      <c r="IO8" s="191"/>
      <c r="IP8" s="191"/>
      <c r="IQ8" s="191"/>
      <c r="IR8" s="191"/>
      <c r="IS8" s="191"/>
      <c r="IT8" s="191"/>
      <c r="IU8" s="191"/>
      <c r="IV8" s="191"/>
    </row>
    <row r="9" spans="1:256" s="11" customFormat="1" ht="12.75" customHeight="1" x14ac:dyDescent="0.2">
      <c r="A9" s="19"/>
      <c r="B9" s="1000" t="s">
        <v>79</v>
      </c>
      <c r="C9" s="1001"/>
      <c r="D9" s="739">
        <f>IF(ISERROR(MATCH(ZonaTerritoriale,ElencoZone,0))=TRUE,0,INDEX(MatriceParametri,MATCH(ZonaTerritoriale,ElencoZone,0),7))</f>
        <v>54</v>
      </c>
      <c r="E9" s="94"/>
      <c r="F9" s="737">
        <f>PRODUCT(D8,D9)</f>
        <v>0</v>
      </c>
      <c r="G9" s="107"/>
      <c r="H9" s="735">
        <f>IF(ISERROR(MATCH(ZonaTerritoriale,ElencoZone,0))=TRUE,0,INDEX(MatriceParametri,MATCH(ZonaTerritoriale,ElencoZone,0),8))</f>
        <v>21.6</v>
      </c>
      <c r="I9" s="94"/>
      <c r="J9" s="737">
        <f>PRODUCT(H8,H9)</f>
        <v>0</v>
      </c>
      <c r="K9" s="854"/>
      <c r="L9" s="739">
        <f>IF(ISERROR(MATCH(ZonaTerritoriale,ElencoZone,0))=TRUE,0,INDEX(MatriceParametri,MATCH(ZonaTerritoriale,ElencoZone,0),9))</f>
        <v>27</v>
      </c>
      <c r="M9" s="94"/>
      <c r="N9" s="737">
        <f>PRODUCT(L8,L9)</f>
        <v>0</v>
      </c>
      <c r="O9" s="671"/>
      <c r="P9" s="994">
        <f>ROUND(SUM(F9,J9,N9),2)</f>
        <v>0</v>
      </c>
      <c r="Q9" s="995"/>
      <c r="R9" s="92"/>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row>
    <row r="10" spans="1:256" s="11" customFormat="1" ht="12.75" customHeight="1" x14ac:dyDescent="0.2">
      <c r="A10" s="19"/>
      <c r="B10" s="1002" t="s">
        <v>80</v>
      </c>
      <c r="C10" s="1003"/>
      <c r="D10" s="739">
        <f>IF(ISERROR(MATCH(ZonaTerritoriale,ElencoZone,0))=TRUE,0,INDEX(MatriceParametri,MATCH(ZonaTerritoriale,ElencoZone,0)+1,7))</f>
        <v>39</v>
      </c>
      <c r="E10" s="94"/>
      <c r="F10" s="737">
        <f>PRODUCT(D8,D10)</f>
        <v>0</v>
      </c>
      <c r="G10" s="20"/>
      <c r="H10" s="735">
        <f>IF(ISERROR(MATCH(ZonaTerritoriale,ElencoZone,0))=TRUE,0,INDEX(MatriceParametri,MATCH(ZonaTerritoriale,ElencoZone,0)+1,8))</f>
        <v>15.6</v>
      </c>
      <c r="I10" s="94"/>
      <c r="J10" s="737">
        <f>PRODUCT(H8,H10)</f>
        <v>0</v>
      </c>
      <c r="K10" s="853"/>
      <c r="L10" s="739">
        <f>IF(ISERROR(MATCH(ZonaTerritoriale,ElencoZone,0))=TRUE,0,INDEX(MatriceParametri,MATCH(ZonaTerritoriale,ElencoZone,0)+1,9))</f>
        <v>19.5</v>
      </c>
      <c r="M10" s="94"/>
      <c r="N10" s="737">
        <f>PRODUCT(L8,L10)</f>
        <v>0</v>
      </c>
      <c r="O10" s="673"/>
      <c r="P10" s="994">
        <f>ROUND(SUM(F10,J10,N10),2)</f>
        <v>0</v>
      </c>
      <c r="Q10" s="995"/>
      <c r="R10" s="92"/>
      <c r="S10" s="16"/>
    </row>
    <row r="11" spans="1:256" s="11" customFormat="1" ht="12.75" customHeight="1" x14ac:dyDescent="0.2">
      <c r="A11" s="19"/>
      <c r="B11" s="1002" t="s">
        <v>81</v>
      </c>
      <c r="C11" s="1003"/>
      <c r="D11" s="739">
        <f>IF(ISERROR(MATCH(ZonaTerritoriale,ElencoZone,0))=TRUE,0,INDEX(MatriceParametri,MATCH(ZonaTerritoriale,ElencoZone,0)+2,7))</f>
        <v>0</v>
      </c>
      <c r="E11" s="94"/>
      <c r="F11" s="737">
        <f>PRODUCT(D8,D11)</f>
        <v>0</v>
      </c>
      <c r="G11" s="20"/>
      <c r="H11" s="735">
        <f>IF(ISERROR(MATCH(ZonaTerritoriale,ElencoZone,0))=TRUE,0,INDEX(MatriceParametri,MATCH(ZonaTerritoriale,ElencoZone,0)+2,8))</f>
        <v>0</v>
      </c>
      <c r="I11" s="94"/>
      <c r="J11" s="737">
        <f>PRODUCT(H8,H11)</f>
        <v>0</v>
      </c>
      <c r="K11" s="853"/>
      <c r="L11" s="739">
        <f>IF(ISERROR(MATCH(ZonaTerritoriale,ElencoZone,0))=TRUE,0,INDEX(MatriceParametri,MATCH(ZonaTerritoriale,ElencoZone,0)+2,9))</f>
        <v>0</v>
      </c>
      <c r="M11" s="94"/>
      <c r="N11" s="737">
        <f>PRODUCT(L8,L11)</f>
        <v>0</v>
      </c>
      <c r="O11" s="673"/>
      <c r="P11" s="994">
        <f>ROUND(SUM(F11,J11,N11),2)</f>
        <v>0</v>
      </c>
      <c r="Q11" s="995"/>
      <c r="R11" s="92"/>
      <c r="S11" s="16"/>
    </row>
    <row r="12" spans="1:256" s="192" customFormat="1" ht="20.100000000000001" customHeight="1" x14ac:dyDescent="0.2">
      <c r="A12" s="185"/>
      <c r="B12" s="1005" t="str">
        <f>Parametri_DestUsoPersonalizzazione3</f>
        <v>Industriale artigianale</v>
      </c>
      <c r="C12" s="1006"/>
      <c r="D12" s="999">
        <f>Ou_Cost_IndArt_NuovaEdif</f>
        <v>0</v>
      </c>
      <c r="E12" s="999"/>
      <c r="F12" s="999"/>
      <c r="G12" s="187"/>
      <c r="H12" s="999">
        <f>Ou_Rist_IndArt</f>
        <v>0</v>
      </c>
      <c r="I12" s="999"/>
      <c r="J12" s="999"/>
      <c r="K12" s="835"/>
      <c r="L12" s="999">
        <f>Ou_Rist_IndArt_Sost</f>
        <v>0</v>
      </c>
      <c r="M12" s="999"/>
      <c r="N12" s="999"/>
      <c r="O12" s="672"/>
      <c r="P12" s="189"/>
      <c r="Q12" s="189"/>
      <c r="R12" s="190"/>
      <c r="S12" s="191"/>
    </row>
    <row r="13" spans="1:256" s="11" customFormat="1" ht="12.75" customHeight="1" x14ac:dyDescent="0.2">
      <c r="A13" s="19"/>
      <c r="B13" s="1000" t="s">
        <v>79</v>
      </c>
      <c r="C13" s="1001"/>
      <c r="D13" s="735">
        <f>IF(ISERROR(MATCH(ZonaTerritoriale,ElencoZone,0))=TRUE,0,INDEX(MatriceParametri,MATCH(ZonaTerritoriale,ElencoZone,0),10))</f>
        <v>15</v>
      </c>
      <c r="E13" s="94"/>
      <c r="F13" s="737">
        <f>PRODUCT(D12,D13)</f>
        <v>0</v>
      </c>
      <c r="G13" s="107"/>
      <c r="H13" s="735">
        <f>IF(ISERROR(MATCH(ZonaTerritoriale,ElencoZone,0))=TRUE,0,INDEX(MatriceParametri,MATCH(ZonaTerritoriale,ElencoZone,0),11))</f>
        <v>6</v>
      </c>
      <c r="I13" s="94"/>
      <c r="J13" s="737">
        <f>PRODUCT(H12,H13)</f>
        <v>0</v>
      </c>
      <c r="K13" s="854"/>
      <c r="L13" s="735">
        <f>IF(ISERROR(MATCH(ZonaTerritoriale,ElencoZone,0))=TRUE,0,INDEX(MatriceParametri,MATCH(ZonaTerritoriale,ElencoZone,0),12))</f>
        <v>7.5</v>
      </c>
      <c r="M13" s="94"/>
      <c r="N13" s="737">
        <f>PRODUCT(L12,L13)</f>
        <v>0</v>
      </c>
      <c r="O13" s="671"/>
      <c r="P13" s="994">
        <f>ROUND(SUM(F13,J13,N13),2)</f>
        <v>0</v>
      </c>
      <c r="Q13" s="995"/>
      <c r="R13" s="92"/>
      <c r="S13" s="16"/>
    </row>
    <row r="14" spans="1:256" s="11" customFormat="1" ht="12.75" customHeight="1" x14ac:dyDescent="0.2">
      <c r="A14" s="19"/>
      <c r="B14" s="1002" t="s">
        <v>80</v>
      </c>
      <c r="C14" s="1003"/>
      <c r="D14" s="735">
        <f>IF(ISERROR(MATCH(ZonaTerritoriale,ElencoZone,0))=TRUE,0,INDEX(MatriceParametri,MATCH(ZonaTerritoriale,ElencoZone,0)+1,10))</f>
        <v>14</v>
      </c>
      <c r="E14" s="94"/>
      <c r="F14" s="737">
        <f>PRODUCT(D12,D14)</f>
        <v>0</v>
      </c>
      <c r="G14" s="20"/>
      <c r="H14" s="735">
        <f>IF(ISERROR(MATCH(ZonaTerritoriale,ElencoZone,0))=TRUE,0,INDEX(MatriceParametri,MATCH(ZonaTerritoriale,ElencoZone,0)+1,11))</f>
        <v>5.6</v>
      </c>
      <c r="I14" s="94"/>
      <c r="J14" s="737">
        <f>PRODUCT(H12,H14)</f>
        <v>0</v>
      </c>
      <c r="K14" s="853"/>
      <c r="L14" s="735">
        <f>IF(ISERROR(MATCH(ZonaTerritoriale,ElencoZone,0))=TRUE,0,INDEX(MatriceParametri,MATCH(ZonaTerritoriale,ElencoZone,0)+1,12))</f>
        <v>7</v>
      </c>
      <c r="M14" s="94"/>
      <c r="N14" s="737">
        <f>PRODUCT(L12,L14)</f>
        <v>0</v>
      </c>
      <c r="O14" s="673"/>
      <c r="P14" s="994">
        <f>ROUND(SUM(F14,J14,N14),2)</f>
        <v>0</v>
      </c>
      <c r="Q14" s="995"/>
      <c r="R14" s="92"/>
      <c r="S14" s="16"/>
    </row>
    <row r="15" spans="1:256" s="11" customFormat="1" ht="12.75" customHeight="1" x14ac:dyDescent="0.2">
      <c r="A15" s="19"/>
      <c r="B15" s="1002" t="s">
        <v>81</v>
      </c>
      <c r="C15" s="1003"/>
      <c r="D15" s="735">
        <f>IF(ISERROR(MATCH(ZonaTerritoriale,ElencoZone,0))=TRUE,0,INDEX(MatriceParametri,MATCH(ZonaTerritoriale,ElencoZone,0)+2,10))</f>
        <v>3</v>
      </c>
      <c r="E15" s="94"/>
      <c r="F15" s="737">
        <f>PRODUCT(D12,D15)</f>
        <v>0</v>
      </c>
      <c r="G15" s="20"/>
      <c r="H15" s="735">
        <f>IF(ISERROR(MATCH(ZonaTerritoriale,ElencoZone,0))=TRUE,0,INDEX(MatriceParametri,MATCH(ZonaTerritoriale,ElencoZone,0)+2,11))</f>
        <v>1.2</v>
      </c>
      <c r="I15" s="94"/>
      <c r="J15" s="737">
        <f>PRODUCT(H12,H15)</f>
        <v>0</v>
      </c>
      <c r="K15" s="853"/>
      <c r="L15" s="735">
        <f>IF(ISERROR(MATCH(ZonaTerritoriale,ElencoZone,0))=TRUE,0,INDEX(MatriceParametri,MATCH(ZonaTerritoriale,ElencoZone,0)+2,12))</f>
        <v>1.5</v>
      </c>
      <c r="M15" s="94"/>
      <c r="N15" s="737">
        <f>PRODUCT(L12,L15)</f>
        <v>0</v>
      </c>
      <c r="O15" s="673"/>
      <c r="P15" s="994">
        <f>ROUND(SUM(F15,J15,N15),2)</f>
        <v>0</v>
      </c>
      <c r="Q15" s="995"/>
      <c r="R15" s="92"/>
      <c r="S15" s="16"/>
    </row>
    <row r="16" spans="1:256" s="192" customFormat="1" ht="20.100000000000001" customHeight="1" x14ac:dyDescent="0.2">
      <c r="A16" s="185"/>
      <c r="B16" s="1005" t="str">
        <f>Parametri_DestUsoPersonalizzazione4</f>
        <v xml:space="preserve">Industriale alberghiera </v>
      </c>
      <c r="C16" s="1006"/>
      <c r="D16" s="999">
        <f>Ou_Cost_IndAlb_NuovaEdif</f>
        <v>0</v>
      </c>
      <c r="E16" s="999"/>
      <c r="F16" s="999"/>
      <c r="G16" s="187"/>
      <c r="H16" s="999">
        <f>Ou_Rist_IndAlb</f>
        <v>0</v>
      </c>
      <c r="I16" s="999"/>
      <c r="J16" s="999"/>
      <c r="K16" s="835"/>
      <c r="L16" s="999">
        <f>Ou_Rist_IndArt_Sost</f>
        <v>0</v>
      </c>
      <c r="M16" s="999"/>
      <c r="N16" s="999"/>
      <c r="O16" s="672"/>
      <c r="P16" s="189"/>
      <c r="Q16" s="189"/>
      <c r="R16" s="190"/>
      <c r="S16" s="191"/>
    </row>
    <row r="17" spans="1:19" s="11" customFormat="1" ht="12.75" customHeight="1" x14ac:dyDescent="0.2">
      <c r="A17" s="19"/>
      <c r="B17" s="1000" t="s">
        <v>79</v>
      </c>
      <c r="C17" s="1001"/>
      <c r="D17" s="733">
        <f>IF(ISERROR(MATCH(ZonaTerritoriale,ElencoZone,0))=TRUE,0,INDEX(MatriceParametri,MATCH(ZonaTerritoriale,ElencoZone,0),13))</f>
        <v>16</v>
      </c>
      <c r="E17" s="94"/>
      <c r="F17" s="737">
        <f>PRODUCT(D16,D17)</f>
        <v>0</v>
      </c>
      <c r="G17" s="107"/>
      <c r="H17" s="735">
        <f>IF(ISERROR(MATCH(ZonaTerritoriale,ElencoZone,0))=TRUE,0,INDEX(MatriceParametri,MATCH(ZonaTerritoriale,ElencoZone,0),14))</f>
        <v>6.4</v>
      </c>
      <c r="I17" s="94"/>
      <c r="J17" s="737">
        <f>PRODUCT(H16,H17)</f>
        <v>0</v>
      </c>
      <c r="K17" s="854"/>
      <c r="L17" s="733">
        <f>IF(ISERROR(MATCH(ZonaTerritoriale,ElencoZone,0))=TRUE,0,INDEX(MatriceParametri,MATCH(ZonaTerritoriale,ElencoZone,0),15))</f>
        <v>8</v>
      </c>
      <c r="M17" s="94"/>
      <c r="N17" s="737">
        <f>PRODUCT(L16,L17)</f>
        <v>0</v>
      </c>
      <c r="O17" s="671"/>
      <c r="P17" s="994">
        <f>ROUND(SUM(F17,J17,N17),2)</f>
        <v>0</v>
      </c>
      <c r="Q17" s="995"/>
      <c r="R17" s="92"/>
      <c r="S17" s="16"/>
    </row>
    <row r="18" spans="1:19" s="11" customFormat="1" ht="12.75" customHeight="1" x14ac:dyDescent="0.2">
      <c r="A18" s="19"/>
      <c r="B18" s="1002" t="s">
        <v>80</v>
      </c>
      <c r="C18" s="1003"/>
      <c r="D18" s="734">
        <f>IF(ISERROR(MATCH(ZonaTerritoriale,ElencoZone,0))=TRUE,0,INDEX(MatriceParametri,MATCH(ZonaTerritoriale,ElencoZone,0)+1,13))</f>
        <v>16</v>
      </c>
      <c r="E18" s="94"/>
      <c r="F18" s="737">
        <f>PRODUCT(D16,D18)</f>
        <v>0</v>
      </c>
      <c r="G18" s="20"/>
      <c r="H18" s="735">
        <f>IF(ISERROR(MATCH(ZonaTerritoriale,ElencoZone,0))=TRUE,0,INDEX(MatriceParametri,MATCH(ZonaTerritoriale,ElencoZone,0)+1,14))</f>
        <v>6.4</v>
      </c>
      <c r="I18" s="94"/>
      <c r="J18" s="737">
        <f>PRODUCT(H16,H18)</f>
        <v>0</v>
      </c>
      <c r="K18" s="853"/>
      <c r="L18" s="734">
        <f>IF(ISERROR(MATCH(ZonaTerritoriale,ElencoZone,0))=TRUE,0,INDEX(MatriceParametri,MATCH(ZonaTerritoriale,ElencoZone,0)+1,15))</f>
        <v>8</v>
      </c>
      <c r="M18" s="94"/>
      <c r="N18" s="737">
        <f>PRODUCT(L16,L18)</f>
        <v>0</v>
      </c>
      <c r="O18" s="673"/>
      <c r="P18" s="994">
        <f>ROUND(SUM(F18,J18,N18),2)</f>
        <v>0</v>
      </c>
      <c r="Q18" s="995"/>
      <c r="R18" s="92"/>
      <c r="S18" s="16"/>
    </row>
    <row r="19" spans="1:19" s="11" customFormat="1" ht="12.75" customHeight="1" x14ac:dyDescent="0.2">
      <c r="A19" s="19"/>
      <c r="B19" s="1002" t="s">
        <v>81</v>
      </c>
      <c r="C19" s="1003"/>
      <c r="D19" s="739">
        <f>IF(ISERROR(MATCH(ZonaTerritoriale,ElencoZone,0))=TRUE,0,INDEX(MatriceParametri,MATCH(ZonaTerritoriale,ElencoZone,0)+2,13))</f>
        <v>0</v>
      </c>
      <c r="E19" s="94"/>
      <c r="F19" s="737">
        <f>PRODUCT(D16,D19)</f>
        <v>0</v>
      </c>
      <c r="G19" s="20"/>
      <c r="H19" s="735">
        <f>IF(ISERROR(MATCH(ZonaTerritoriale,ElencoZone,0))=TRUE,0,INDEX(MatriceParametri,MATCH(ZonaTerritoriale,ElencoZone,0)+2,14))</f>
        <v>0</v>
      </c>
      <c r="I19" s="94"/>
      <c r="J19" s="737">
        <f>PRODUCT(H16,H19)</f>
        <v>0</v>
      </c>
      <c r="K19" s="853"/>
      <c r="L19" s="739">
        <f>IF(ISERROR(MATCH(ZonaTerritoriale,ElencoZone,0))=TRUE,0,INDEX(MatriceParametri,MATCH(ZonaTerritoriale,ElencoZone,0)+2,15))</f>
        <v>0</v>
      </c>
      <c r="M19" s="94"/>
      <c r="N19" s="737">
        <f>PRODUCT(L16,L19)</f>
        <v>0</v>
      </c>
      <c r="O19" s="673"/>
      <c r="P19" s="994">
        <f>ROUND(SUM(F19,J19,N19),2)</f>
        <v>0</v>
      </c>
      <c r="Q19" s="995"/>
      <c r="R19" s="92"/>
      <c r="S19" s="16"/>
    </row>
    <row r="20" spans="1:19" s="192" customFormat="1" ht="20.100000000000001" customHeight="1" x14ac:dyDescent="0.2">
      <c r="A20" s="185"/>
      <c r="B20" s="1007" t="str">
        <f>Parametri_DestUsoPersonalizzazione5</f>
        <v>Parcheggi, silos (posto auto)</v>
      </c>
      <c r="C20" s="1008"/>
      <c r="D20" s="1052">
        <f>Ou_Cost_Parc_NuovaEdif</f>
        <v>0</v>
      </c>
      <c r="E20" s="1052"/>
      <c r="F20" s="1052"/>
      <c r="G20" s="189"/>
      <c r="H20" s="1052">
        <f>Ou_Rist_ParSil</f>
        <v>0</v>
      </c>
      <c r="I20" s="1052"/>
      <c r="J20" s="1052"/>
      <c r="K20" s="852"/>
      <c r="L20" s="1052">
        <f>Ou_Rist_ParSil_Sost</f>
        <v>0</v>
      </c>
      <c r="M20" s="1052"/>
      <c r="N20" s="1052"/>
      <c r="O20" s="672"/>
      <c r="P20" s="189"/>
      <c r="Q20" s="189"/>
      <c r="R20" s="190"/>
      <c r="S20" s="191"/>
    </row>
    <row r="21" spans="1:19" s="7" customFormat="1" ht="12.75" customHeight="1" x14ac:dyDescent="0.2">
      <c r="A21" s="19"/>
      <c r="B21" s="1000" t="s">
        <v>79</v>
      </c>
      <c r="C21" s="1001"/>
      <c r="D21" s="868">
        <f>IF(ISERROR(MATCH(ZonaTerritoriale,ElencoZone,0))=TRUE,0,INDEX(MatriceParametri,MATCH(ZonaTerritoriale,ElencoZone,0),16))</f>
        <v>164</v>
      </c>
      <c r="E21" s="94"/>
      <c r="F21" s="737">
        <f>PRODUCT(D20,D21)</f>
        <v>0</v>
      </c>
      <c r="G21" s="107"/>
      <c r="H21" s="866">
        <f>IF(ISERROR(MATCH(ZonaTerritoriale,ElencoZone,0))=TRUE,0,INDEX(MatriceParametri,MATCH(ZonaTerritoriale,ElencoZone,0),17))</f>
        <v>82</v>
      </c>
      <c r="I21" s="94"/>
      <c r="J21" s="737">
        <f>PRODUCT(H20,H21)</f>
        <v>0</v>
      </c>
      <c r="K21" s="857"/>
      <c r="L21" s="868">
        <f>IF(ISERROR(MATCH(ZonaTerritoriale,ElencoZone,0))=TRUE,0,INDEX(MatriceParametri,MATCH(ZonaTerritoriale,ElencoZone,0),18))</f>
        <v>123</v>
      </c>
      <c r="M21" s="826"/>
      <c r="N21" s="737">
        <f>PRODUCT(L20,L21)</f>
        <v>0</v>
      </c>
      <c r="O21" s="858"/>
      <c r="P21" s="994">
        <f>ROUND(SUM(F21,J21,N21),2)</f>
        <v>0</v>
      </c>
      <c r="Q21" s="995"/>
      <c r="R21" s="92"/>
      <c r="S21" s="1"/>
    </row>
    <row r="22" spans="1:19" s="7" customFormat="1" ht="12.75" customHeight="1" x14ac:dyDescent="0.2">
      <c r="A22" s="19"/>
      <c r="B22" s="1002" t="s">
        <v>80</v>
      </c>
      <c r="C22" s="1003"/>
      <c r="D22" s="868">
        <f>IF(ISERROR(MATCH(ZonaTerritoriale,ElencoZone,0))=TRUE,0,INDEX(MatriceParametri,MATCH(ZonaTerritoriale,ElencoZone,0)+1,16))</f>
        <v>72</v>
      </c>
      <c r="E22" s="94"/>
      <c r="F22" s="737">
        <f>PRODUCT(D20,D22)</f>
        <v>0</v>
      </c>
      <c r="G22" s="20"/>
      <c r="H22" s="867">
        <f>IF(ISERROR(MATCH(ZonaTerritoriale,ElencoZone,0))=TRUE,0,INDEX(MatriceParametri,MATCH(ZonaTerritoriale,ElencoZone,0)+1,17))</f>
        <v>36</v>
      </c>
      <c r="I22" s="94"/>
      <c r="J22" s="737">
        <f>PRODUCT(H20,H22)</f>
        <v>0</v>
      </c>
      <c r="K22" s="856"/>
      <c r="L22" s="868">
        <f>IF(ISERROR(MATCH(ZonaTerritoriale,ElencoZone,0))=TRUE,0,INDEX(MatriceParametri,MATCH(ZonaTerritoriale,ElencoZone,0)+1,18))</f>
        <v>54</v>
      </c>
      <c r="M22" s="94"/>
      <c r="N22" s="737">
        <f>PRODUCT(L20,L22)</f>
        <v>0</v>
      </c>
      <c r="O22" s="859"/>
      <c r="P22" s="994">
        <f>ROUND(SUM(F22,J22,N22),2)</f>
        <v>0</v>
      </c>
      <c r="Q22" s="995"/>
      <c r="R22" s="92"/>
      <c r="S22" s="1"/>
    </row>
    <row r="23" spans="1:19" s="11" customFormat="1" ht="12.75" customHeight="1" x14ac:dyDescent="0.2">
      <c r="A23" s="19"/>
      <c r="B23" s="1002" t="s">
        <v>81</v>
      </c>
      <c r="C23" s="1003"/>
      <c r="D23" s="868">
        <f>IF(ISERROR(MATCH(ZonaTerritoriale,ElencoZone,0))=TRUE,0,INDEX(MatriceParametri,MATCH(ZonaTerritoriale,ElencoZone,0)+2,16))</f>
        <v>0</v>
      </c>
      <c r="E23" s="94"/>
      <c r="F23" s="737">
        <f>PRODUCT(D20,D23)</f>
        <v>0</v>
      </c>
      <c r="G23" s="20"/>
      <c r="H23" s="867">
        <f>IF(ISERROR(MATCH(ZonaTerritoriale,ElencoZone,0))=TRUE,0,INDEX(MatriceParametri,MATCH(ZonaTerritoriale,ElencoZone,0)+2,17))</f>
        <v>0</v>
      </c>
      <c r="I23" s="94"/>
      <c r="J23" s="737">
        <f>PRODUCT(H20,H23)</f>
        <v>0</v>
      </c>
      <c r="K23" s="856"/>
      <c r="L23" s="868">
        <f>IF(ISERROR(MATCH(ZonaTerritoriale,ElencoZone,0))=TRUE,0,INDEX(MatriceParametri,MATCH(ZonaTerritoriale,ElencoZone,0)+2,18))</f>
        <v>0</v>
      </c>
      <c r="M23" s="94"/>
      <c r="N23" s="737">
        <f>PRODUCT(L20,L23)</f>
        <v>0</v>
      </c>
      <c r="O23" s="859"/>
      <c r="P23" s="994">
        <f>ROUND(SUM(F23,J23,N23),2)</f>
        <v>0</v>
      </c>
      <c r="Q23" s="995"/>
      <c r="R23" s="92"/>
      <c r="S23" s="16"/>
    </row>
    <row r="24" spans="1:19" s="192" customFormat="1" ht="20.100000000000001" customHeight="1" x14ac:dyDescent="0.2">
      <c r="A24" s="185"/>
      <c r="B24" s="740" t="str">
        <f>Parametri_DestUsoPersonalizzazione6</f>
        <v>Attrezzature culturali e sanitarie</v>
      </c>
      <c r="C24" s="194"/>
      <c r="D24" s="999">
        <f>Ou_Cost_AttCulSan_NuovaEdif</f>
        <v>0</v>
      </c>
      <c r="E24" s="999"/>
      <c r="F24" s="999"/>
      <c r="G24" s="189"/>
      <c r="H24" s="999">
        <f>Ou_Rist_CultSan</f>
        <v>0</v>
      </c>
      <c r="I24" s="999"/>
      <c r="J24" s="999"/>
      <c r="K24" s="835"/>
      <c r="L24" s="999">
        <f>Ou_Rist_CultSan_Sost</f>
        <v>0</v>
      </c>
      <c r="M24" s="999"/>
      <c r="N24" s="999"/>
      <c r="O24" s="672"/>
      <c r="P24" s="189"/>
      <c r="Q24" s="189"/>
      <c r="R24" s="190"/>
      <c r="S24" s="191"/>
    </row>
    <row r="25" spans="1:19" s="7" customFormat="1" ht="12.75" customHeight="1" x14ac:dyDescent="0.2">
      <c r="A25" s="19"/>
      <c r="B25" s="1000" t="s">
        <v>79</v>
      </c>
      <c r="C25" s="1001"/>
      <c r="D25" s="733">
        <f>IF(ISERROR(MATCH(ZonaTerritoriale,ElencoZone,0))=TRUE,0,INDEX(MatriceParametri,MATCH(ZonaTerritoriale,ElencoZone,0),19))</f>
        <v>8</v>
      </c>
      <c r="E25" s="94"/>
      <c r="F25" s="737">
        <f>PRODUCT(D24,D25)</f>
        <v>0</v>
      </c>
      <c r="G25" s="107"/>
      <c r="H25" s="735">
        <f>IF(ISERROR(MATCH(ZonaTerritoriale,ElencoZone,0))=TRUE,0,INDEX(MatriceParametri,MATCH(ZonaTerritoriale,ElencoZone,0),20))</f>
        <v>4</v>
      </c>
      <c r="I25" s="94"/>
      <c r="J25" s="737">
        <f>PRODUCT(H24,H25)</f>
        <v>0</v>
      </c>
      <c r="K25" s="857"/>
      <c r="L25" s="733">
        <f>IF(ISERROR(MATCH(ZonaTerritoriale,ElencoZone,0))=TRUE,0,INDEX(MatriceParametri,MATCH(ZonaTerritoriale,ElencoZone,0),21))</f>
        <v>6</v>
      </c>
      <c r="M25" s="94"/>
      <c r="N25" s="737">
        <f>PRODUCT(L24,L25)</f>
        <v>0</v>
      </c>
      <c r="O25" s="858"/>
      <c r="P25" s="994">
        <f>ROUND(SUM(F25,J25,N25),2)</f>
        <v>0</v>
      </c>
      <c r="Q25" s="995"/>
      <c r="R25" s="92"/>
      <c r="S25" s="1"/>
    </row>
    <row r="26" spans="1:19" s="7" customFormat="1" ht="12.75" customHeight="1" x14ac:dyDescent="0.2">
      <c r="A26" s="19"/>
      <c r="B26" s="1002" t="s">
        <v>80</v>
      </c>
      <c r="C26" s="1003"/>
      <c r="D26" s="734">
        <f>IF(ISERROR(MATCH(ZonaTerritoriale,ElencoZone,0))=TRUE,0,INDEX(MatriceParametri,MATCH(ZonaTerritoriale,ElencoZone,0)+1,19))</f>
        <v>5</v>
      </c>
      <c r="E26" s="94"/>
      <c r="F26" s="737">
        <f>PRODUCT(D24,D26)</f>
        <v>0</v>
      </c>
      <c r="G26" s="20"/>
      <c r="H26" s="735">
        <f>IF(ISERROR(MATCH(ZonaTerritoriale,ElencoZone,0))=TRUE,0,INDEX(MatriceParametri,MATCH(ZonaTerritoriale,ElencoZone,0)+1,20))</f>
        <v>2.5</v>
      </c>
      <c r="I26" s="94"/>
      <c r="J26" s="737">
        <f>PRODUCT(H24,H26)</f>
        <v>0</v>
      </c>
      <c r="K26" s="856"/>
      <c r="L26" s="734">
        <f>IF(ISERROR(MATCH(ZonaTerritoriale,ElencoZone,0))=TRUE,0,INDEX(MatriceParametri,MATCH(ZonaTerritoriale,ElencoZone,0)+1,21))</f>
        <v>3.75</v>
      </c>
      <c r="M26" s="94"/>
      <c r="N26" s="737">
        <f>PRODUCT(L24,L26)</f>
        <v>0</v>
      </c>
      <c r="O26" s="859"/>
      <c r="P26" s="994">
        <f>ROUND(SUM(F26,J26,N26),2)</f>
        <v>0</v>
      </c>
      <c r="Q26" s="995"/>
      <c r="R26" s="92"/>
      <c r="S26" s="1"/>
    </row>
    <row r="27" spans="1:19" s="11" customFormat="1" ht="12.75" customHeight="1" x14ac:dyDescent="0.2">
      <c r="A27" s="19"/>
      <c r="B27" s="1002" t="s">
        <v>81</v>
      </c>
      <c r="C27" s="1003"/>
      <c r="D27" s="739">
        <f>IF(ISERROR(MATCH(ZonaTerritoriale,ElencoZone,0))=TRUE,0,INDEX(MatriceParametri,MATCH(ZonaTerritoriale,ElencoZone,0)+2,19))</f>
        <v>0</v>
      </c>
      <c r="E27" s="94"/>
      <c r="F27" s="737">
        <f>PRODUCT(D24,D27)</f>
        <v>0</v>
      </c>
      <c r="G27" s="20"/>
      <c r="H27" s="735">
        <f>IF(ISERROR(MATCH(ZonaTerritoriale,ElencoZone,0))=TRUE,0,INDEX(MatriceParametri,MATCH(ZonaTerritoriale,ElencoZone,0)+2,20))</f>
        <v>0</v>
      </c>
      <c r="I27" s="94"/>
      <c r="J27" s="737">
        <f>PRODUCT(H24,H27)</f>
        <v>0</v>
      </c>
      <c r="K27" s="856"/>
      <c r="L27" s="739">
        <f>IF(ISERROR(MATCH(ZonaTerritoriale,ElencoZone,0))=TRUE,0,INDEX(MatriceParametri,MATCH(ZonaTerritoriale,ElencoZone,0)+2,21))</f>
        <v>0</v>
      </c>
      <c r="M27" s="94"/>
      <c r="N27" s="737">
        <f>PRODUCT(L24,L27)</f>
        <v>0</v>
      </c>
      <c r="O27" s="859"/>
      <c r="P27" s="994">
        <f>ROUND(SUM(F27,J27,N27),2)</f>
        <v>0</v>
      </c>
      <c r="Q27" s="995"/>
      <c r="R27" s="92"/>
      <c r="S27" s="16"/>
    </row>
    <row r="28" spans="1:19" s="192" customFormat="1" ht="20.100000000000001" customHeight="1" x14ac:dyDescent="0.2">
      <c r="A28" s="185"/>
      <c r="B28" s="1007" t="str">
        <f>Parametri_DestUsoPersonalizzazione7</f>
        <v>Attrezzature sportive</v>
      </c>
      <c r="C28" s="1008"/>
      <c r="D28" s="999">
        <f>Ou_Cost_AttSport_NuovaEdif</f>
        <v>0</v>
      </c>
      <c r="E28" s="999"/>
      <c r="F28" s="999"/>
      <c r="G28" s="189"/>
      <c r="H28" s="999">
        <f>Ou_Rist_AttSpor</f>
        <v>0</v>
      </c>
      <c r="I28" s="999"/>
      <c r="J28" s="999"/>
      <c r="K28" s="835"/>
      <c r="L28" s="999">
        <f>Ou_Rist_AttSpor_Sost</f>
        <v>0</v>
      </c>
      <c r="M28" s="999"/>
      <c r="N28" s="999"/>
      <c r="O28" s="672"/>
      <c r="P28" s="189"/>
      <c r="Q28" s="189"/>
      <c r="R28" s="190"/>
      <c r="S28" s="191"/>
    </row>
    <row r="29" spans="1:19" s="7" customFormat="1" ht="12.75" customHeight="1" x14ac:dyDescent="0.2">
      <c r="A29" s="19"/>
      <c r="B29" s="1000" t="s">
        <v>79</v>
      </c>
      <c r="C29" s="1001"/>
      <c r="D29" s="735">
        <f>IF(ISERROR(MATCH(ZonaTerritoriale,ElencoZone,0))=TRUE,0,INDEX(MatriceParametri,MATCH(ZonaTerritoriale,ElencoZone,0),22))</f>
        <v>4</v>
      </c>
      <c r="E29" s="94"/>
      <c r="F29" s="737">
        <f>PRODUCT(D28,D29)</f>
        <v>0</v>
      </c>
      <c r="G29" s="107"/>
      <c r="H29" s="733">
        <f>IF(ISERROR(MATCH(ZonaTerritoriale,ElencoZone,0))=TRUE,0,INDEX(MatriceParametri,MATCH(ZonaTerritoriale,ElencoZone,0),23))</f>
        <v>2</v>
      </c>
      <c r="I29" s="94"/>
      <c r="J29" s="737">
        <f>PRODUCT(H28,H29)</f>
        <v>0</v>
      </c>
      <c r="K29" s="857"/>
      <c r="L29" s="735">
        <f>IF(ISERROR(MATCH(ZonaTerritoriale,ElencoZone,0))=TRUE,0,INDEX(MatriceParametri,MATCH(ZonaTerritoriale,ElencoZone,0),24))</f>
        <v>3</v>
      </c>
      <c r="M29" s="94"/>
      <c r="N29" s="737">
        <f>PRODUCT(L28,L29)</f>
        <v>0</v>
      </c>
      <c r="O29" s="858"/>
      <c r="P29" s="994">
        <f>ROUND(SUM(F29,J29,N29),2)</f>
        <v>0</v>
      </c>
      <c r="Q29" s="995"/>
      <c r="R29" s="92"/>
      <c r="S29" s="1"/>
    </row>
    <row r="30" spans="1:19" s="7" customFormat="1" ht="12.75" customHeight="1" x14ac:dyDescent="0.2">
      <c r="A30" s="19"/>
      <c r="B30" s="1002" t="s">
        <v>80</v>
      </c>
      <c r="C30" s="1003"/>
      <c r="D30" s="735">
        <f>IF(ISERROR(MATCH(ZonaTerritoriale,ElencoZone,0))=TRUE,0,INDEX(MatriceParametri,MATCH(ZonaTerritoriale,ElencoZone,0)+1,22))</f>
        <v>2</v>
      </c>
      <c r="E30" s="94"/>
      <c r="F30" s="737">
        <f>PRODUCT(D28,D30)</f>
        <v>0</v>
      </c>
      <c r="G30" s="20"/>
      <c r="H30" s="734">
        <f>IF(ISERROR(MATCH(ZonaTerritoriale,ElencoZone,0))=TRUE,0,INDEX(MatriceParametri,MATCH(ZonaTerritoriale,ElencoZone,0)+1,23))</f>
        <v>1</v>
      </c>
      <c r="I30" s="94"/>
      <c r="J30" s="737">
        <f>PRODUCT(H28,H30)</f>
        <v>0</v>
      </c>
      <c r="K30" s="856"/>
      <c r="L30" s="735">
        <f>IF(ISERROR(MATCH(ZonaTerritoriale,ElencoZone,0))=TRUE,0,INDEX(MatriceParametri,MATCH(ZonaTerritoriale,ElencoZone,0)+1,24))</f>
        <v>1.5</v>
      </c>
      <c r="M30" s="94"/>
      <c r="N30" s="737">
        <f>PRODUCT(L28,L30)</f>
        <v>0</v>
      </c>
      <c r="O30" s="859"/>
      <c r="P30" s="994">
        <f>ROUND(SUM(F30,J30,N30),2)</f>
        <v>0</v>
      </c>
      <c r="Q30" s="995"/>
      <c r="R30" s="92"/>
      <c r="S30" s="1"/>
    </row>
    <row r="31" spans="1:19" s="11" customFormat="1" ht="12.75" customHeight="1" x14ac:dyDescent="0.2">
      <c r="A31" s="19"/>
      <c r="B31" s="1002" t="s">
        <v>81</v>
      </c>
      <c r="C31" s="1003"/>
      <c r="D31" s="735">
        <f>IF(ISERROR(MATCH(ZonaTerritoriale,ElencoZone,0))=TRUE,0,INDEX(MatriceParametri,MATCH(ZonaTerritoriale,ElencoZone,0)+2,22))</f>
        <v>0</v>
      </c>
      <c r="E31" s="94"/>
      <c r="F31" s="737">
        <f>PRODUCT(D28,D31)</f>
        <v>0</v>
      </c>
      <c r="G31" s="20"/>
      <c r="H31" s="739">
        <f>IF(ISERROR(MATCH(ZonaTerritoriale,ElencoZone,0))=TRUE,0,INDEX(MatriceParametri,MATCH(ZonaTerritoriale,ElencoZone,0)+2,23))</f>
        <v>0</v>
      </c>
      <c r="I31" s="94"/>
      <c r="J31" s="737">
        <f>PRODUCT(H28,H31)</f>
        <v>0</v>
      </c>
      <c r="K31" s="856"/>
      <c r="L31" s="735">
        <f>IF(ISERROR(MATCH(ZonaTerritoriale,ElencoZone,0))=TRUE,0,INDEX(MatriceParametri,MATCH(ZonaTerritoriale,ElencoZone,0)+2,24))</f>
        <v>0</v>
      </c>
      <c r="M31" s="94"/>
      <c r="N31" s="737">
        <f>PRODUCT(L28,L31)</f>
        <v>0</v>
      </c>
      <c r="O31" s="859"/>
      <c r="P31" s="994">
        <f>ROUND(SUM(F31,J31,N31),2)</f>
        <v>0</v>
      </c>
      <c r="Q31" s="995"/>
      <c r="R31" s="92"/>
      <c r="S31" s="16"/>
    </row>
    <row r="32" spans="1:19" s="192" customFormat="1" ht="20.100000000000001" customHeight="1" x14ac:dyDescent="0.2">
      <c r="A32" s="185"/>
      <c r="B32" s="1007" t="str">
        <f>Parametri_DestUsoPersonalizzazione8</f>
        <v>Attrezzature spettacolo</v>
      </c>
      <c r="C32" s="1008"/>
      <c r="D32" s="999">
        <f>Ou_Cost_AttSpett_NuovaEdif</f>
        <v>0</v>
      </c>
      <c r="E32" s="999"/>
      <c r="F32" s="999"/>
      <c r="G32" s="189"/>
      <c r="H32" s="999">
        <f>Ou_Rist_AttSpet</f>
        <v>0</v>
      </c>
      <c r="I32" s="999"/>
      <c r="J32" s="999"/>
      <c r="K32" s="835"/>
      <c r="L32" s="999">
        <f>Ou_Rist_AttSpet_Sost</f>
        <v>0</v>
      </c>
      <c r="M32" s="999"/>
      <c r="N32" s="999"/>
      <c r="O32" s="672"/>
      <c r="P32" s="189"/>
      <c r="Q32" s="189"/>
      <c r="R32" s="190"/>
      <c r="S32" s="191"/>
    </row>
    <row r="33" spans="1:19" s="7" customFormat="1" ht="12.75" customHeight="1" x14ac:dyDescent="0.2">
      <c r="A33" s="19"/>
      <c r="B33" s="1000" t="s">
        <v>79</v>
      </c>
      <c r="C33" s="1001"/>
      <c r="D33" s="733">
        <f>IF(ISERROR(MATCH(ZonaTerritoriale,ElencoZone,0))=TRUE,0,INDEX(MatriceParametri,MATCH(ZonaTerritoriale,ElencoZone,0),25))</f>
        <v>13</v>
      </c>
      <c r="E33" s="94"/>
      <c r="F33" s="737">
        <f>PRODUCT(D32,D33)</f>
        <v>0</v>
      </c>
      <c r="G33" s="107"/>
      <c r="H33" s="735">
        <f>IF(ISERROR(MATCH(ZonaTerritoriale,ElencoZone,0))=TRUE,0,INDEX(MatriceParametri,MATCH(ZonaTerritoriale,ElencoZone,0),26))</f>
        <v>6.5</v>
      </c>
      <c r="I33" s="94"/>
      <c r="J33" s="737">
        <f>PRODUCT(H32,H33)</f>
        <v>0</v>
      </c>
      <c r="K33" s="857"/>
      <c r="L33" s="733">
        <f>IF(ISERROR(MATCH(ZonaTerritoriale,ElencoZone,0))=TRUE,0,INDEX(MatriceParametri,MATCH(ZonaTerritoriale,ElencoZone,0),27))</f>
        <v>9.75</v>
      </c>
      <c r="M33" s="94"/>
      <c r="N33" s="737">
        <f>PRODUCT(L32,L33)</f>
        <v>0</v>
      </c>
      <c r="O33" s="858"/>
      <c r="P33" s="994">
        <f>ROUND(SUM(F33,J33,N33),2)</f>
        <v>0</v>
      </c>
      <c r="Q33" s="995"/>
      <c r="R33" s="92"/>
      <c r="S33" s="1"/>
    </row>
    <row r="34" spans="1:19" s="7" customFormat="1" ht="12.75" customHeight="1" x14ac:dyDescent="0.2">
      <c r="A34" s="19"/>
      <c r="B34" s="1002" t="s">
        <v>80</v>
      </c>
      <c r="C34" s="1003"/>
      <c r="D34" s="734">
        <f>IF(ISERROR(MATCH(ZonaTerritoriale,ElencoZone,0))=TRUE,0,INDEX(MatriceParametri,MATCH(ZonaTerritoriale,ElencoZone,0)+1,25))</f>
        <v>6</v>
      </c>
      <c r="E34" s="94"/>
      <c r="F34" s="737">
        <f>PRODUCT(D32,D34)</f>
        <v>0</v>
      </c>
      <c r="G34" s="20"/>
      <c r="H34" s="735">
        <f>IF(ISERROR(MATCH(ZonaTerritoriale,ElencoZone,0))=TRUE,0,INDEX(MatriceParametri,MATCH(ZonaTerritoriale,ElencoZone,0)+1,26))</f>
        <v>3</v>
      </c>
      <c r="I34" s="94"/>
      <c r="J34" s="737">
        <f>PRODUCT(H32,H34)</f>
        <v>0</v>
      </c>
      <c r="K34" s="856"/>
      <c r="L34" s="734">
        <f>IF(ISERROR(MATCH(ZonaTerritoriale,ElencoZone,0))=TRUE,0,INDEX(MatriceParametri,MATCH(ZonaTerritoriale,ElencoZone,0)+1,27))</f>
        <v>4.5</v>
      </c>
      <c r="M34" s="94"/>
      <c r="N34" s="737">
        <f>PRODUCT(L32,L34)</f>
        <v>0</v>
      </c>
      <c r="O34" s="859"/>
      <c r="P34" s="994">
        <f>ROUND(SUM(F34,J34,N34),2)</f>
        <v>0</v>
      </c>
      <c r="Q34" s="995"/>
      <c r="R34" s="92"/>
      <c r="S34" s="1"/>
    </row>
    <row r="35" spans="1:19" s="11" customFormat="1" ht="12.75" customHeight="1" x14ac:dyDescent="0.2">
      <c r="A35" s="19"/>
      <c r="B35" s="1002" t="s">
        <v>81</v>
      </c>
      <c r="C35" s="1003"/>
      <c r="D35" s="739">
        <f>IF(ISERROR(MATCH(ZonaTerritoriale,ElencoZone,0))=TRUE,0,INDEX(MatriceParametri,MATCH(ZonaTerritoriale,ElencoZone,0)+2,25))</f>
        <v>0</v>
      </c>
      <c r="E35" s="94"/>
      <c r="F35" s="737">
        <f>PRODUCT(D32,D35)</f>
        <v>0</v>
      </c>
      <c r="G35" s="20"/>
      <c r="H35" s="735">
        <f>IF(ISERROR(MATCH(ZonaTerritoriale,ElencoZone,0))=TRUE,0,INDEX(MatriceParametri,MATCH(ZonaTerritoriale,ElencoZone,0)+2,26))</f>
        <v>0</v>
      </c>
      <c r="I35" s="94"/>
      <c r="J35" s="737">
        <f>PRODUCT(H32,H35)</f>
        <v>0</v>
      </c>
      <c r="K35" s="856"/>
      <c r="L35" s="739">
        <f>IF(ISERROR(MATCH(ZonaTerritoriale,ElencoZone,0))=TRUE,0,INDEX(MatriceParametri,MATCH(ZonaTerritoriale,ElencoZone,0)+2,27))</f>
        <v>0</v>
      </c>
      <c r="M35" s="94"/>
      <c r="N35" s="737">
        <f>PRODUCT(L32,L35)</f>
        <v>0</v>
      </c>
      <c r="O35" s="859"/>
      <c r="P35" s="994">
        <f>ROUND(SUM(F35,J35,N35),2)</f>
        <v>0</v>
      </c>
      <c r="Q35" s="995"/>
      <c r="R35" s="92"/>
      <c r="S35" s="16"/>
    </row>
    <row r="36" spans="1:19" s="192" customFormat="1" ht="20.100000000000001" customHeight="1" x14ac:dyDescent="0.2">
      <c r="A36" s="185"/>
      <c r="B36" s="186" t="s">
        <v>103</v>
      </c>
      <c r="C36" s="194"/>
      <c r="D36" s="1056"/>
      <c r="E36" s="1056"/>
      <c r="F36" s="1056"/>
      <c r="G36" s="189"/>
      <c r="H36" s="999">
        <f>Ou_NuovaEd_Sottotetti_ParReale</f>
        <v>0</v>
      </c>
      <c r="I36" s="999"/>
      <c r="J36" s="999"/>
      <c r="K36" s="835"/>
      <c r="L36" s="1056"/>
      <c r="M36" s="1056"/>
      <c r="N36" s="1056"/>
      <c r="O36" s="189"/>
      <c r="P36" s="189"/>
      <c r="Q36" s="189"/>
      <c r="R36" s="190"/>
      <c r="S36" s="191"/>
    </row>
    <row r="37" spans="1:19" s="11" customFormat="1" ht="12.75" customHeight="1" x14ac:dyDescent="0.2">
      <c r="A37" s="19"/>
      <c r="B37" s="95"/>
      <c r="C37" s="96" t="s">
        <v>79</v>
      </c>
      <c r="D37" s="830"/>
      <c r="E37" s="826"/>
      <c r="F37" s="831"/>
      <c r="G37" s="827"/>
      <c r="H37" s="733">
        <f>IF(ISERROR(MATCH(ZonaTerritoriale,ElencoZone,0))=TRUE,0,INDEX(MatriceParametri,MATCH(ZonaTerritoriale,ElencoZone,0),IF(DatiGen_ResidenzialeClasseA="No",2,4)))</f>
        <v>1.6</v>
      </c>
      <c r="I37" s="826"/>
      <c r="J37" s="737">
        <f>PRODUCT(H36,H37)</f>
        <v>0</v>
      </c>
      <c r="K37" s="831"/>
      <c r="L37" s="876">
        <f>IF(ISERROR(MATCH(ZonaTerritoriale,ElencoZone,0))=TRUE,0,INDEX(MatriceParametri,MATCH(ZonaTerritoriale,ElencoZone,0),IF(DatiGen_ResidenzialeClasseA="No",3,5)))</f>
        <v>2</v>
      </c>
      <c r="M37" s="877"/>
      <c r="N37" s="878"/>
      <c r="O37" s="195"/>
      <c r="P37" s="1017">
        <f>ROUND(J37+N37,2)</f>
        <v>0</v>
      </c>
      <c r="Q37" s="1017"/>
      <c r="R37" s="741">
        <f>F37*DescInt_RisparmioPercent</f>
        <v>0</v>
      </c>
      <c r="S37" s="16"/>
    </row>
    <row r="38" spans="1:19" s="11" customFormat="1" ht="12.75" customHeight="1" x14ac:dyDescent="0.2">
      <c r="A38" s="19"/>
      <c r="B38" s="93"/>
      <c r="C38" s="96" t="s">
        <v>80</v>
      </c>
      <c r="D38" s="828"/>
      <c r="E38" s="94"/>
      <c r="F38" s="829"/>
      <c r="G38" s="20"/>
      <c r="H38" s="738">
        <f>IF(ISERROR(MATCH(ZonaTerritoriale,ElencoZone,0))=TRUE,0,INDEX(MatriceParametri,MATCH(ZonaTerritoriale,ElencoZone,0)+1,IF(DatiGen_ResidenzialeClasseA="No",2,4)))</f>
        <v>3.2</v>
      </c>
      <c r="I38" s="94"/>
      <c r="J38" s="737">
        <f>PRODUCT(H36,H38)</f>
        <v>0</v>
      </c>
      <c r="K38" s="829"/>
      <c r="L38" s="879">
        <f>IF(ISERROR(MATCH(ZonaTerritoriale,ElencoZone,0))=TRUE,0,INDEX(MatriceParametri,MATCH(ZonaTerritoriale,ElencoZone,0)+1,IF(DatiGen_ResidenzialeClasseA="No",3,5)))</f>
        <v>4</v>
      </c>
      <c r="M38" s="880"/>
      <c r="N38" s="881"/>
      <c r="O38" s="20"/>
      <c r="P38" s="1017">
        <f>ROUND(J38+N38,2)</f>
        <v>0</v>
      </c>
      <c r="Q38" s="1017"/>
      <c r="R38" s="741">
        <f>F38*DescInt_RisparmioPercent</f>
        <v>0</v>
      </c>
      <c r="S38" s="16"/>
    </row>
    <row r="39" spans="1:19" s="11" customFormat="1" ht="12.75" customHeight="1" x14ac:dyDescent="0.2">
      <c r="A39" s="19"/>
      <c r="B39" s="95"/>
      <c r="C39" s="96" t="s">
        <v>81</v>
      </c>
      <c r="D39" s="828"/>
      <c r="E39" s="94"/>
      <c r="F39" s="829"/>
      <c r="G39" s="20"/>
      <c r="H39" s="735">
        <f>IF(ISERROR(MATCH(ZonaTerritoriale,ElencoZone,0))=TRUE,0,INDEX(MatriceParametri,MATCH(ZonaTerritoriale,ElencoZone,0)+2,IF(DatiGen_ResidenzialeClasseA="No",2,4)))</f>
        <v>0</v>
      </c>
      <c r="I39" s="94"/>
      <c r="J39" s="737">
        <f>PRODUCT(H36,H39)</f>
        <v>0</v>
      </c>
      <c r="K39" s="829"/>
      <c r="L39" s="882">
        <f>IF(ISERROR(MATCH(ZonaTerritoriale,ElencoZone,0))=TRUE,0,INDEX(MatriceParametri,MATCH(ZonaTerritoriale,ElencoZone,0)+2,IF(DatiGen_ResidenzialeClasseA="No",3,5)))</f>
        <v>0</v>
      </c>
      <c r="M39" s="880"/>
      <c r="N39" s="881"/>
      <c r="O39" s="20"/>
      <c r="P39" s="1017">
        <f>ROUND(J39+N39,2)</f>
        <v>0</v>
      </c>
      <c r="Q39" s="1017"/>
      <c r="R39" s="742">
        <f>ImportoOneriUrbRecSottPrimaria+ImportoOneriUrbRecSottSecondaria</f>
        <v>0</v>
      </c>
      <c r="S39" s="16"/>
    </row>
    <row r="40" spans="1:19" s="192" customFormat="1" ht="20.100000000000001" customHeight="1" x14ac:dyDescent="0.2">
      <c r="A40" s="185"/>
      <c r="B40" s="1007" t="str">
        <f>Parametri_DestUsoPersonalizzazione9</f>
        <v>Destinazione ulteriore 1</v>
      </c>
      <c r="C40" s="1008"/>
      <c r="D40" s="999">
        <f>Ou_Cost_Personalizzazione1_NuovaEdif</f>
        <v>0</v>
      </c>
      <c r="E40" s="999"/>
      <c r="F40" s="999"/>
      <c r="G40" s="189"/>
      <c r="H40" s="999">
        <f>Ou_Rist_Personalizzazione1</f>
        <v>0</v>
      </c>
      <c r="I40" s="999"/>
      <c r="J40" s="999"/>
      <c r="K40" s="835"/>
      <c r="L40" s="999">
        <f>Ou_Rist_Personalizzazione1_Sost</f>
        <v>0</v>
      </c>
      <c r="M40" s="999"/>
      <c r="N40" s="999"/>
      <c r="O40" s="193"/>
      <c r="P40" s="189"/>
      <c r="Q40" s="189"/>
      <c r="R40" s="190"/>
      <c r="S40" s="191"/>
    </row>
    <row r="41" spans="1:19" s="7" customFormat="1" ht="12.75" customHeight="1" x14ac:dyDescent="0.2">
      <c r="A41" s="19"/>
      <c r="B41" s="1000" t="s">
        <v>79</v>
      </c>
      <c r="C41" s="1001"/>
      <c r="D41" s="735">
        <f>IF(ISERROR(MATCH(ZonaTerritoriale,ElencoZone,0))=TRUE,0,INDEX(MatriceParametri,MATCH(ZonaTerritoriale,ElencoZone,0),28))</f>
        <v>0</v>
      </c>
      <c r="E41" s="94"/>
      <c r="F41" s="737">
        <f>PRODUCT(D40,D41)</f>
        <v>0</v>
      </c>
      <c r="G41" s="107"/>
      <c r="H41" s="735">
        <f>IF(ISERROR(MATCH(ZonaTerritoriale,ElencoZone,0))=TRUE,0,INDEX(MatriceParametri,MATCH(ZonaTerritoriale,ElencoZone,0),29))</f>
        <v>0</v>
      </c>
      <c r="I41" s="94"/>
      <c r="J41" s="737">
        <f>PRODUCT(H40,H41)</f>
        <v>0</v>
      </c>
      <c r="K41" s="854"/>
      <c r="L41" s="735">
        <f>IF(ISERROR(MATCH(ZonaTerritoriale,ElencoZone,0))=TRUE,0,INDEX(MatriceParametri,MATCH(ZonaTerritoriale,ElencoZone,0),30))</f>
        <v>0</v>
      </c>
      <c r="M41" s="826"/>
      <c r="N41" s="737">
        <f>PRODUCT(L40,L41)</f>
        <v>0</v>
      </c>
      <c r="O41" s="671"/>
      <c r="P41" s="1017">
        <f>ROUND(SUM(F41,J41,N41),2)</f>
        <v>0</v>
      </c>
      <c r="Q41" s="1017"/>
      <c r="R41" s="92"/>
      <c r="S41" s="1"/>
    </row>
    <row r="42" spans="1:19" s="7" customFormat="1" ht="12.75" customHeight="1" x14ac:dyDescent="0.2">
      <c r="A42" s="19"/>
      <c r="B42" s="1002" t="s">
        <v>80</v>
      </c>
      <c r="C42" s="1003"/>
      <c r="D42" s="735">
        <f>IF(ISERROR(MATCH(ZonaTerritoriale,ElencoZone,0))=TRUE,0,INDEX(MatriceParametri,MATCH(ZonaTerritoriale,ElencoZone,0)+1,28))</f>
        <v>0</v>
      </c>
      <c r="E42" s="94"/>
      <c r="F42" s="737">
        <f>PRODUCT(D40,D42)</f>
        <v>0</v>
      </c>
      <c r="G42" s="20"/>
      <c r="H42" s="735">
        <f>IF(ISERROR(MATCH(ZonaTerritoriale,ElencoZone,0))=TRUE,0,INDEX(MatriceParametri,MATCH(ZonaTerritoriale,ElencoZone,0)+1,29))</f>
        <v>0</v>
      </c>
      <c r="I42" s="94"/>
      <c r="J42" s="737">
        <f>PRODUCT(H40,H42)</f>
        <v>0</v>
      </c>
      <c r="K42" s="853"/>
      <c r="L42" s="735">
        <f>IF(ISERROR(MATCH(ZonaTerritoriale,ElencoZone,0))=TRUE,0,INDEX(MatriceParametri,MATCH(ZonaTerritoriale,ElencoZone,0)+1,30))</f>
        <v>0</v>
      </c>
      <c r="M42" s="94"/>
      <c r="N42" s="737">
        <f>PRODUCT(L40,L42)</f>
        <v>0</v>
      </c>
      <c r="O42" s="673"/>
      <c r="P42" s="1017">
        <f>ROUND(SUM(F42,J42,N42),2)</f>
        <v>0</v>
      </c>
      <c r="Q42" s="1017"/>
      <c r="R42" s="92"/>
      <c r="S42" s="1"/>
    </row>
    <row r="43" spans="1:19" s="11" customFormat="1" ht="12.75" customHeight="1" x14ac:dyDescent="0.2">
      <c r="A43" s="19"/>
      <c r="B43" s="1002" t="s">
        <v>81</v>
      </c>
      <c r="C43" s="1003"/>
      <c r="D43" s="735">
        <f>IF(ISERROR(MATCH(ZonaTerritoriale,ElencoZone,0))=TRUE,0,INDEX(MatriceParametri,MATCH(ZonaTerritoriale,ElencoZone,0)+2,28))</f>
        <v>0</v>
      </c>
      <c r="E43" s="94"/>
      <c r="F43" s="737">
        <f>PRODUCT(D40,D43)</f>
        <v>0</v>
      </c>
      <c r="G43" s="20"/>
      <c r="H43" s="735">
        <f>IF(ISERROR(MATCH(ZonaTerritoriale,ElencoZone,0))=TRUE,0,INDEX(MatriceParametri,MATCH(ZonaTerritoriale,ElencoZone,0)+2,29))</f>
        <v>0</v>
      </c>
      <c r="I43" s="94"/>
      <c r="J43" s="737">
        <f>PRODUCT(H40,H43)</f>
        <v>0</v>
      </c>
      <c r="K43" s="853"/>
      <c r="L43" s="735">
        <f>IF(ISERROR(MATCH(ZonaTerritoriale,ElencoZone,0))=TRUE,0,INDEX(MatriceParametri,MATCH(ZonaTerritoriale,ElencoZone,0)+2,30))</f>
        <v>0</v>
      </c>
      <c r="M43" s="94"/>
      <c r="N43" s="737">
        <f>PRODUCT(L40,L43)</f>
        <v>0</v>
      </c>
      <c r="O43" s="673"/>
      <c r="P43" s="1017">
        <f>ROUND(SUM(F43,J43,N43),2)</f>
        <v>0</v>
      </c>
      <c r="Q43" s="1017"/>
      <c r="R43" s="92"/>
      <c r="S43" s="16"/>
    </row>
    <row r="44" spans="1:19" s="192" customFormat="1" ht="20.100000000000001" customHeight="1" x14ac:dyDescent="0.2">
      <c r="A44" s="185"/>
      <c r="B44" s="1007" t="str">
        <f>Parametri_DestUsoPersonalizzazione10</f>
        <v>Destinazione ulteriore 2</v>
      </c>
      <c r="C44" s="1008"/>
      <c r="D44" s="999">
        <f>Ou_Cost_Personalizzazione2_NuovaEdif</f>
        <v>0</v>
      </c>
      <c r="E44" s="999"/>
      <c r="F44" s="999"/>
      <c r="G44" s="189"/>
      <c r="H44" s="999">
        <f>Ou_Rist_Personalizzazione2</f>
        <v>0</v>
      </c>
      <c r="I44" s="999"/>
      <c r="J44" s="999"/>
      <c r="K44" s="835"/>
      <c r="L44" s="999">
        <f>Ou_Rist_Personalizzazione2_Sost</f>
        <v>0</v>
      </c>
      <c r="M44" s="999"/>
      <c r="N44" s="999"/>
      <c r="O44" s="672"/>
      <c r="P44" s="189"/>
      <c r="Q44" s="189"/>
      <c r="R44" s="190"/>
      <c r="S44" s="191"/>
    </row>
    <row r="45" spans="1:19" s="7" customFormat="1" ht="12.75" customHeight="1" x14ac:dyDescent="0.2">
      <c r="A45" s="19"/>
      <c r="B45" s="1000" t="s">
        <v>79</v>
      </c>
      <c r="C45" s="1001"/>
      <c r="D45" s="735">
        <f>IF(ISERROR(MATCH(ZonaTerritoriale,ElencoZone,0))=TRUE,0,INDEX(MatriceParametri,MATCH(ZonaTerritoriale,ElencoZone,0),31))</f>
        <v>0</v>
      </c>
      <c r="E45" s="94"/>
      <c r="F45" s="737">
        <f>PRODUCT(D44,D45)</f>
        <v>0</v>
      </c>
      <c r="G45" s="107"/>
      <c r="H45" s="735">
        <f>IF(ISERROR(MATCH(ZonaTerritoriale,ElencoZone,0))=TRUE,0,INDEX(MatriceParametri,MATCH(ZonaTerritoriale,ElencoZone,0),32))</f>
        <v>0</v>
      </c>
      <c r="I45" s="94"/>
      <c r="J45" s="737">
        <f>PRODUCT(H44,H45)</f>
        <v>0</v>
      </c>
      <c r="K45" s="854"/>
      <c r="L45" s="735">
        <f>IF(ISERROR(MATCH(ZonaTerritoriale,ElencoZone,0))=TRUE,0,INDEX(MatriceParametri,MATCH(ZonaTerritoriale,ElencoZone,0),33))</f>
        <v>0</v>
      </c>
      <c r="M45" s="94"/>
      <c r="N45" s="737">
        <f>PRODUCT(L44,L45)</f>
        <v>0</v>
      </c>
      <c r="O45" s="671"/>
      <c r="P45" s="1017">
        <f>ROUND(SUM(F45,J45,N45),2)</f>
        <v>0</v>
      </c>
      <c r="Q45" s="1017"/>
      <c r="R45" s="92"/>
      <c r="S45" s="1"/>
    </row>
    <row r="46" spans="1:19" s="7" customFormat="1" ht="12.75" customHeight="1" x14ac:dyDescent="0.2">
      <c r="A46" s="19"/>
      <c r="B46" s="1002" t="s">
        <v>80</v>
      </c>
      <c r="C46" s="1003"/>
      <c r="D46" s="735">
        <f>IF(ISERROR(MATCH(ZonaTerritoriale,ElencoZone,0))=TRUE,0,INDEX(MatriceParametri,MATCH(ZonaTerritoriale,ElencoZone,0)+1,31))</f>
        <v>0</v>
      </c>
      <c r="E46" s="94"/>
      <c r="F46" s="737">
        <f>PRODUCT(D44,D46)</f>
        <v>0</v>
      </c>
      <c r="G46" s="20"/>
      <c r="H46" s="735">
        <f>IF(ISERROR(MATCH(ZonaTerritoriale,ElencoZone,0))=TRUE,0,INDEX(MatriceParametri,MATCH(ZonaTerritoriale,ElencoZone,0)+1,32))</f>
        <v>0</v>
      </c>
      <c r="I46" s="94"/>
      <c r="J46" s="737">
        <f>PRODUCT(H44,H46)</f>
        <v>0</v>
      </c>
      <c r="K46" s="853"/>
      <c r="L46" s="735">
        <f>IF(ISERROR(MATCH(ZonaTerritoriale,ElencoZone,0))=TRUE,0,INDEX(MatriceParametri,MATCH(ZonaTerritoriale,ElencoZone,0)+1,33))</f>
        <v>0</v>
      </c>
      <c r="M46" s="94"/>
      <c r="N46" s="737">
        <f>PRODUCT(L44,L46)</f>
        <v>0</v>
      </c>
      <c r="O46" s="673"/>
      <c r="P46" s="1017">
        <f>ROUND(SUM(F46,J46,N46),2)</f>
        <v>0</v>
      </c>
      <c r="Q46" s="1017"/>
      <c r="R46" s="92"/>
      <c r="S46" s="1"/>
    </row>
    <row r="47" spans="1:19" s="11" customFormat="1" ht="12.75" customHeight="1" x14ac:dyDescent="0.2">
      <c r="A47" s="19"/>
      <c r="B47" s="1002" t="s">
        <v>81</v>
      </c>
      <c r="C47" s="1003"/>
      <c r="D47" s="735">
        <f>IF(ISERROR(MATCH(ZonaTerritoriale,ElencoZone,0))=TRUE,0,INDEX(MatriceParametri,MATCH(ZonaTerritoriale,ElencoZone,0)+2,31))</f>
        <v>0</v>
      </c>
      <c r="E47" s="94"/>
      <c r="F47" s="737">
        <f>PRODUCT(D44,D47)</f>
        <v>0</v>
      </c>
      <c r="G47" s="20"/>
      <c r="H47" s="735">
        <f>IF(ISERROR(MATCH(ZonaTerritoriale,ElencoZone,0))=TRUE,0,INDEX(MatriceParametri,MATCH(ZonaTerritoriale,ElencoZone,0)+2,32))</f>
        <v>0</v>
      </c>
      <c r="I47" s="94"/>
      <c r="J47" s="737">
        <f>PRODUCT(H44,H47)</f>
        <v>0</v>
      </c>
      <c r="K47" s="853"/>
      <c r="L47" s="735">
        <f>IF(ISERROR(MATCH(ZonaTerritoriale,ElencoZone,0))=TRUE,0,INDEX(MatriceParametri,MATCH(ZonaTerritoriale,ElencoZone,0)+2,33))</f>
        <v>0</v>
      </c>
      <c r="M47" s="94"/>
      <c r="N47" s="737">
        <f>PRODUCT(L44,L47)</f>
        <v>0</v>
      </c>
      <c r="O47" s="673"/>
      <c r="P47" s="1017">
        <f>ROUND(SUM(F47,J47,N47),2)</f>
        <v>0</v>
      </c>
      <c r="Q47" s="1017"/>
      <c r="R47" s="92"/>
      <c r="S47" s="16"/>
    </row>
    <row r="48" spans="1:19" s="192" customFormat="1" ht="20.100000000000001" customHeight="1" x14ac:dyDescent="0.2">
      <c r="A48" s="185"/>
      <c r="B48" s="1007" t="str">
        <f>Parametri_DestUsoPersonalizzazione11</f>
        <v>Destinazione ulteriore 3</v>
      </c>
      <c r="C48" s="1008"/>
      <c r="D48" s="999">
        <f>Ou_Cost_Personalizzazione3_NuovaEdif</f>
        <v>0</v>
      </c>
      <c r="E48" s="999"/>
      <c r="F48" s="999"/>
      <c r="G48" s="189"/>
      <c r="H48" s="999">
        <f>Ou_Rist_Personalizzazione3</f>
        <v>0</v>
      </c>
      <c r="I48" s="999"/>
      <c r="J48" s="999"/>
      <c r="K48" s="835"/>
      <c r="L48" s="999">
        <f>Ou_Rist_Personalizzazione3_Sost</f>
        <v>0</v>
      </c>
      <c r="M48" s="999"/>
      <c r="N48" s="999"/>
      <c r="O48" s="672"/>
      <c r="P48" s="189"/>
      <c r="Q48" s="189"/>
      <c r="R48" s="190"/>
      <c r="S48" s="191"/>
    </row>
    <row r="49" spans="1:19" s="7" customFormat="1" ht="12.75" customHeight="1" x14ac:dyDescent="0.2">
      <c r="A49" s="19"/>
      <c r="B49" s="1000" t="s">
        <v>79</v>
      </c>
      <c r="C49" s="1001"/>
      <c r="D49" s="735">
        <f>IF(ISERROR(MATCH(ZonaTerritoriale,ElencoZone,0))=TRUE,0,INDEX(MatriceParametri,MATCH(ZonaTerritoriale,ElencoZone,0),34))</f>
        <v>0</v>
      </c>
      <c r="E49" s="94"/>
      <c r="F49" s="737">
        <f>PRODUCT(D48,D49)</f>
        <v>0</v>
      </c>
      <c r="G49" s="107"/>
      <c r="H49" s="735">
        <f>IF(ISERROR(MATCH(ZonaTerritoriale,ElencoZone,0))=TRUE,0,INDEX(MatriceParametri,MATCH(ZonaTerritoriale,ElencoZone,0),35))</f>
        <v>0</v>
      </c>
      <c r="I49" s="94"/>
      <c r="J49" s="737">
        <f>PRODUCT(H48,H49)</f>
        <v>0</v>
      </c>
      <c r="K49" s="854"/>
      <c r="L49" s="735">
        <f>IF(ISERROR(MATCH(ZonaTerritoriale,ElencoZone,0))=TRUE,0,INDEX(MatriceParametri,MATCH(ZonaTerritoriale,ElencoZone,0),36))</f>
        <v>0</v>
      </c>
      <c r="M49" s="94"/>
      <c r="N49" s="737">
        <f>PRODUCT(L48,L49)</f>
        <v>0</v>
      </c>
      <c r="O49" s="671"/>
      <c r="P49" s="1017">
        <f>ROUND(SUM(F49,J49,N49),2)</f>
        <v>0</v>
      </c>
      <c r="Q49" s="1017"/>
      <c r="R49" s="92"/>
      <c r="S49" s="1"/>
    </row>
    <row r="50" spans="1:19" s="7" customFormat="1" ht="12.75" customHeight="1" x14ac:dyDescent="0.2">
      <c r="A50" s="19"/>
      <c r="B50" s="1002" t="s">
        <v>80</v>
      </c>
      <c r="C50" s="1003"/>
      <c r="D50" s="735">
        <f>IF(ISERROR(MATCH(ZonaTerritoriale,ElencoZone,0))=TRUE,0,INDEX(MatriceParametri,MATCH(ZonaTerritoriale,ElencoZone,0)+1,34))</f>
        <v>0</v>
      </c>
      <c r="E50" s="94"/>
      <c r="F50" s="737">
        <f>PRODUCT(D48,D50)</f>
        <v>0</v>
      </c>
      <c r="G50" s="20"/>
      <c r="H50" s="735">
        <f>IF(ISERROR(MATCH(ZonaTerritoriale,ElencoZone,0))=TRUE,0,INDEX(MatriceParametri,MATCH(ZonaTerritoriale,ElencoZone,0)+1,35))</f>
        <v>0</v>
      </c>
      <c r="I50" s="94"/>
      <c r="J50" s="737">
        <f>PRODUCT(H48,H50)</f>
        <v>0</v>
      </c>
      <c r="K50" s="853"/>
      <c r="L50" s="735">
        <f>IF(ISERROR(MATCH(ZonaTerritoriale,ElencoZone,0))=TRUE,0,INDEX(MatriceParametri,MATCH(ZonaTerritoriale,ElencoZone,0)+1,36))</f>
        <v>0</v>
      </c>
      <c r="M50" s="94"/>
      <c r="N50" s="737">
        <f>PRODUCT(L48,L50)</f>
        <v>0</v>
      </c>
      <c r="O50" s="673"/>
      <c r="P50" s="1017">
        <f>ROUND(SUM(F50,J50,N50),2)</f>
        <v>0</v>
      </c>
      <c r="Q50" s="1017"/>
      <c r="R50" s="92"/>
      <c r="S50" s="1"/>
    </row>
    <row r="51" spans="1:19" s="11" customFormat="1" ht="12.75" customHeight="1" x14ac:dyDescent="0.2">
      <c r="A51" s="19"/>
      <c r="B51" s="1002" t="s">
        <v>81</v>
      </c>
      <c r="C51" s="1003"/>
      <c r="D51" s="735">
        <f>IF(ISERROR(MATCH(ZonaTerritoriale,ElencoZone,0))=TRUE,0,INDEX(MatriceParametri,MATCH(ZonaTerritoriale,ElencoZone,0)+2,34))</f>
        <v>0</v>
      </c>
      <c r="E51" s="94"/>
      <c r="F51" s="737">
        <f>PRODUCT(D48,D51)</f>
        <v>0</v>
      </c>
      <c r="G51" s="20"/>
      <c r="H51" s="735">
        <f>IF(ISERROR(MATCH(ZonaTerritoriale,ElencoZone,0))=TRUE,0,INDEX(MatriceParametri,MATCH(ZonaTerritoriale,ElencoZone,0)+2,35))</f>
        <v>0</v>
      </c>
      <c r="I51" s="94"/>
      <c r="J51" s="737">
        <f>PRODUCT(H48,H51)</f>
        <v>0</v>
      </c>
      <c r="K51" s="853"/>
      <c r="L51" s="735">
        <f>IF(ISERROR(MATCH(ZonaTerritoriale,ElencoZone,0))=TRUE,0,INDEX(MatriceParametri,MATCH(ZonaTerritoriale,ElencoZone,0)+2,36))</f>
        <v>0</v>
      </c>
      <c r="M51" s="94"/>
      <c r="N51" s="737">
        <f>PRODUCT(L48,L51)</f>
        <v>0</v>
      </c>
      <c r="O51" s="673"/>
      <c r="P51" s="1017">
        <f>ROUND(SUM(F51,J51,N51),2)</f>
        <v>0</v>
      </c>
      <c r="Q51" s="1017"/>
      <c r="R51" s="92"/>
      <c r="S51" s="16"/>
    </row>
    <row r="52" spans="1:19" s="192" customFormat="1" ht="20.100000000000001" customHeight="1" x14ac:dyDescent="0.2">
      <c r="A52" s="185"/>
      <c r="B52" s="1007" t="str">
        <f>Parametri_DestUsoPersonalizzazione12</f>
        <v>Destinazione ulteriore 4</v>
      </c>
      <c r="C52" s="1008"/>
      <c r="D52" s="999">
        <f>Ou_Cost_Personalizzazione4_NuovaEdif</f>
        <v>0</v>
      </c>
      <c r="E52" s="999"/>
      <c r="F52" s="999"/>
      <c r="G52" s="189"/>
      <c r="H52" s="999">
        <f>Ou_Rist_Personalizzazione4</f>
        <v>0</v>
      </c>
      <c r="I52" s="999"/>
      <c r="J52" s="999"/>
      <c r="K52" s="835"/>
      <c r="L52" s="999">
        <f>Ou_Rist_Personalizzazione4_Sost</f>
        <v>0</v>
      </c>
      <c r="M52" s="999"/>
      <c r="N52" s="999"/>
      <c r="O52" s="672"/>
      <c r="P52" s="189"/>
      <c r="Q52" s="189"/>
      <c r="R52" s="190"/>
      <c r="S52" s="191"/>
    </row>
    <row r="53" spans="1:19" s="7" customFormat="1" ht="12.75" customHeight="1" x14ac:dyDescent="0.2">
      <c r="A53" s="19"/>
      <c r="B53" s="1000" t="s">
        <v>79</v>
      </c>
      <c r="C53" s="1001"/>
      <c r="D53" s="735">
        <f>IF(ISERROR(MATCH(ZonaTerritoriale,ElencoZone,0))=TRUE,0,INDEX(MatriceParametri,MATCH(ZonaTerritoriale,ElencoZone,0),37))</f>
        <v>0</v>
      </c>
      <c r="E53" s="94"/>
      <c r="F53" s="737">
        <f>PRODUCT(D52,D53)</f>
        <v>0</v>
      </c>
      <c r="G53" s="107"/>
      <c r="H53" s="735">
        <f>IF(ISERROR(MATCH(ZonaTerritoriale,ElencoZone,0))=TRUE,0,INDEX(MatriceParametri,MATCH(ZonaTerritoriale,ElencoZone,0),38))</f>
        <v>0</v>
      </c>
      <c r="I53" s="94"/>
      <c r="J53" s="737">
        <f>PRODUCT(H52,H53)</f>
        <v>0</v>
      </c>
      <c r="K53" s="854"/>
      <c r="L53" s="735">
        <f>IF(ISERROR(MATCH(ZonaTerritoriale,ElencoZone,0))=TRUE,0,INDEX(MatriceParametri,MATCH(ZonaTerritoriale,ElencoZone,0),39))</f>
        <v>0</v>
      </c>
      <c r="M53" s="94"/>
      <c r="N53" s="737">
        <f>PRODUCT(L52,L53)</f>
        <v>0</v>
      </c>
      <c r="O53" s="671"/>
      <c r="P53" s="1017">
        <f>ROUND(SUM(F53,J53,N53),2)</f>
        <v>0</v>
      </c>
      <c r="Q53" s="1017"/>
      <c r="R53" s="92"/>
      <c r="S53" s="1"/>
    </row>
    <row r="54" spans="1:19" s="7" customFormat="1" ht="12.75" customHeight="1" x14ac:dyDescent="0.2">
      <c r="A54" s="19"/>
      <c r="B54" s="1002" t="s">
        <v>80</v>
      </c>
      <c r="C54" s="1003"/>
      <c r="D54" s="735">
        <f>IF(ISERROR(MATCH(ZonaTerritoriale,ElencoZone,0))=TRUE,0,INDEX(MatriceParametri,MATCH(ZonaTerritoriale,ElencoZone,0)+1,37))</f>
        <v>0</v>
      </c>
      <c r="E54" s="94"/>
      <c r="F54" s="737">
        <f>PRODUCT(D52,D54)</f>
        <v>0</v>
      </c>
      <c r="G54" s="20"/>
      <c r="H54" s="735">
        <f>IF(ISERROR(MATCH(ZonaTerritoriale,ElencoZone,0))=TRUE,0,INDEX(MatriceParametri,MATCH(ZonaTerritoriale,ElencoZone,0)+1,38))</f>
        <v>0</v>
      </c>
      <c r="I54" s="94"/>
      <c r="J54" s="737">
        <f>PRODUCT(H52,H54)</f>
        <v>0</v>
      </c>
      <c r="K54" s="853"/>
      <c r="L54" s="735">
        <f>IF(ISERROR(MATCH(ZonaTerritoriale,ElencoZone,0))=TRUE,0,INDEX(MatriceParametri,MATCH(ZonaTerritoriale,ElencoZone,0)+1,39))</f>
        <v>0</v>
      </c>
      <c r="M54" s="94"/>
      <c r="N54" s="737">
        <f>PRODUCT(L52,L54)</f>
        <v>0</v>
      </c>
      <c r="O54" s="673"/>
      <c r="P54" s="1017">
        <f>ROUND(SUM(F54,J54,N54),2)</f>
        <v>0</v>
      </c>
      <c r="Q54" s="1017"/>
      <c r="R54" s="92"/>
      <c r="S54" s="1"/>
    </row>
    <row r="55" spans="1:19" s="11" customFormat="1" ht="12.75" customHeight="1" x14ac:dyDescent="0.2">
      <c r="A55" s="19"/>
      <c r="B55" s="1002" t="s">
        <v>81</v>
      </c>
      <c r="C55" s="1003"/>
      <c r="D55" s="735">
        <f>IF(ISERROR(MATCH(ZonaTerritoriale,ElencoZone,0))=TRUE,0,INDEX(MatriceParametri,MATCH(ZonaTerritoriale,ElencoZone,0)+2,37))</f>
        <v>0</v>
      </c>
      <c r="E55" s="94"/>
      <c r="F55" s="737">
        <f>PRODUCT(D52,D55)</f>
        <v>0</v>
      </c>
      <c r="G55" s="20"/>
      <c r="H55" s="735">
        <f>IF(ISERROR(MATCH(ZonaTerritoriale,ElencoZone,0))=TRUE,0,INDEX(MatriceParametri,MATCH(ZonaTerritoriale,ElencoZone,0)+2,38))</f>
        <v>0</v>
      </c>
      <c r="I55" s="94"/>
      <c r="J55" s="737">
        <f>PRODUCT(H52,H55)</f>
        <v>0</v>
      </c>
      <c r="K55" s="853"/>
      <c r="L55" s="735">
        <f>IF(ISERROR(MATCH(ZonaTerritoriale,ElencoZone,0))=TRUE,0,INDEX(MatriceParametri,MATCH(ZonaTerritoriale,ElencoZone,0)+2,39))</f>
        <v>0</v>
      </c>
      <c r="M55" s="94"/>
      <c r="N55" s="737">
        <f>PRODUCT(L52,L55)</f>
        <v>0</v>
      </c>
      <c r="O55" s="673"/>
      <c r="P55" s="1017">
        <f>ROUND(SUM(F55,J55,N55),2)</f>
        <v>0</v>
      </c>
      <c r="Q55" s="1017"/>
      <c r="R55" s="92"/>
      <c r="S55" s="16"/>
    </row>
    <row r="56" spans="1:19" s="192" customFormat="1" ht="20.100000000000001" customHeight="1" x14ac:dyDescent="0.2">
      <c r="A56" s="185"/>
      <c r="B56" s="1007" t="str">
        <f>Parametri_DestUsoPersonalizzazione13</f>
        <v>Destinazione ulteriore 5</v>
      </c>
      <c r="C56" s="1008"/>
      <c r="D56" s="999">
        <f>Ou_Cost_Personalizzazione5_NuovaEdif</f>
        <v>0</v>
      </c>
      <c r="E56" s="999"/>
      <c r="F56" s="999"/>
      <c r="G56" s="189"/>
      <c r="H56" s="999">
        <f>Ou_Rist_Personalizzazione5</f>
        <v>0</v>
      </c>
      <c r="I56" s="999"/>
      <c r="J56" s="999"/>
      <c r="K56" s="835"/>
      <c r="L56" s="999">
        <f>Ou_Rist_Personalizzazione5_Sost</f>
        <v>0</v>
      </c>
      <c r="M56" s="999"/>
      <c r="N56" s="999"/>
      <c r="O56" s="672"/>
      <c r="P56" s="189"/>
      <c r="Q56" s="189"/>
      <c r="R56" s="190"/>
      <c r="S56" s="191"/>
    </row>
    <row r="57" spans="1:19" s="7" customFormat="1" ht="12.75" customHeight="1" x14ac:dyDescent="0.2">
      <c r="A57" s="19"/>
      <c r="B57" s="1000" t="s">
        <v>79</v>
      </c>
      <c r="C57" s="1001"/>
      <c r="D57" s="735">
        <f>IF(ISERROR(MATCH(ZonaTerritoriale,ElencoZone,0))=TRUE,0,INDEX(MatriceParametri,MATCH(ZonaTerritoriale,ElencoZone,0),40))</f>
        <v>0</v>
      </c>
      <c r="E57" s="94"/>
      <c r="F57" s="737">
        <f>PRODUCT(D56,D57)</f>
        <v>0</v>
      </c>
      <c r="G57" s="107"/>
      <c r="H57" s="735">
        <f>IF(ISERROR(MATCH(ZonaTerritoriale,ElencoZone,0))=TRUE,0,INDEX(MatriceParametri,MATCH(ZonaTerritoriale,ElencoZone,0),41))</f>
        <v>0</v>
      </c>
      <c r="I57" s="94"/>
      <c r="J57" s="737">
        <f>PRODUCT(H56,H57)</f>
        <v>0</v>
      </c>
      <c r="K57" s="854"/>
      <c r="L57" s="735">
        <f>IF(ISERROR(MATCH(ZonaTerritoriale,ElencoZone,0))=TRUE,0,INDEX(MatriceParametri,MATCH(ZonaTerritoriale,ElencoZone,0),42))</f>
        <v>0</v>
      </c>
      <c r="M57" s="94"/>
      <c r="N57" s="737">
        <f>PRODUCT(L56,L57)</f>
        <v>0</v>
      </c>
      <c r="O57" s="671"/>
      <c r="P57" s="1017">
        <f>ROUND(SUM(F57,J57,N57),2)</f>
        <v>0</v>
      </c>
      <c r="Q57" s="1017"/>
      <c r="R57" s="92"/>
      <c r="S57" s="1"/>
    </row>
    <row r="58" spans="1:19" s="7" customFormat="1" ht="12.75" customHeight="1" x14ac:dyDescent="0.2">
      <c r="A58" s="19"/>
      <c r="B58" s="1002" t="s">
        <v>80</v>
      </c>
      <c r="C58" s="1003"/>
      <c r="D58" s="735">
        <f>IF(ISERROR(MATCH(ZonaTerritoriale,ElencoZone,0))=TRUE,0,INDEX(MatriceParametri,MATCH(ZonaTerritoriale,ElencoZone,0)+1,40))</f>
        <v>0</v>
      </c>
      <c r="E58" s="94"/>
      <c r="F58" s="737">
        <f>PRODUCT(D56,D58)</f>
        <v>0</v>
      </c>
      <c r="G58" s="20"/>
      <c r="H58" s="735">
        <f>IF(ISERROR(MATCH(ZonaTerritoriale,ElencoZone,0))=TRUE,0,INDEX(MatriceParametri,MATCH(ZonaTerritoriale,ElencoZone,0)+1,41))</f>
        <v>0</v>
      </c>
      <c r="I58" s="94"/>
      <c r="J58" s="737">
        <f>PRODUCT(H56,H58)</f>
        <v>0</v>
      </c>
      <c r="K58" s="853"/>
      <c r="L58" s="735">
        <f>IF(ISERROR(MATCH(ZonaTerritoriale,ElencoZone,0))=TRUE,0,INDEX(MatriceParametri,MATCH(ZonaTerritoriale,ElencoZone,0)+1,42))</f>
        <v>0</v>
      </c>
      <c r="M58" s="94"/>
      <c r="N58" s="737">
        <f>PRODUCT(L56,L58)</f>
        <v>0</v>
      </c>
      <c r="O58" s="673"/>
      <c r="P58" s="1017">
        <f>ROUND(SUM(F58,J58,N58),2)</f>
        <v>0</v>
      </c>
      <c r="Q58" s="1017"/>
      <c r="R58" s="92"/>
      <c r="S58" s="1"/>
    </row>
    <row r="59" spans="1:19" s="11" customFormat="1" ht="12.75" customHeight="1" x14ac:dyDescent="0.2">
      <c r="A59" s="19"/>
      <c r="B59" s="1002" t="s">
        <v>81</v>
      </c>
      <c r="C59" s="1003"/>
      <c r="D59" s="735">
        <f>IF(ISERROR(MATCH(ZonaTerritoriale,ElencoZone,0))=TRUE,0,INDEX(MatriceParametri,MATCH(ZonaTerritoriale,ElencoZone,0)+2,40))</f>
        <v>0</v>
      </c>
      <c r="E59" s="94"/>
      <c r="F59" s="737">
        <f>PRODUCT(D56,D59)</f>
        <v>0</v>
      </c>
      <c r="G59" s="20"/>
      <c r="H59" s="735">
        <f>IF(ISERROR(MATCH(ZonaTerritoriale,ElencoZone,0))=TRUE,0,INDEX(MatriceParametri,MATCH(ZonaTerritoriale,ElencoZone,0)+2,41))</f>
        <v>0</v>
      </c>
      <c r="I59" s="94"/>
      <c r="J59" s="737">
        <f>PRODUCT(H56,H59)</f>
        <v>0</v>
      </c>
      <c r="K59" s="853"/>
      <c r="L59" s="735">
        <f>IF(ISERROR(MATCH(ZonaTerritoriale,ElencoZone,0))=TRUE,0,INDEX(MatriceParametri,MATCH(ZonaTerritoriale,ElencoZone,0)+2,42))</f>
        <v>0</v>
      </c>
      <c r="M59" s="94"/>
      <c r="N59" s="737">
        <f>PRODUCT(L56,L59)</f>
        <v>0</v>
      </c>
      <c r="O59" s="673"/>
      <c r="P59" s="1017">
        <f>ROUND(SUM(F59,J59,N59),2)</f>
        <v>0</v>
      </c>
      <c r="Q59" s="1017"/>
      <c r="R59" s="92"/>
      <c r="S59" s="16"/>
    </row>
    <row r="60" spans="1:19" s="11" customFormat="1" ht="12.75" customHeight="1" x14ac:dyDescent="0.2">
      <c r="A60" s="19"/>
      <c r="B60" s="476"/>
      <c r="C60" s="96"/>
      <c r="D60" s="96"/>
      <c r="E60" s="96"/>
      <c r="F60" s="743">
        <f>SUM(F5:F59)</f>
        <v>0</v>
      </c>
      <c r="G60" s="96"/>
      <c r="H60" s="96"/>
      <c r="I60" s="96"/>
      <c r="J60" s="743">
        <f>SUM(J5:J59)-SUM(J37:J39)</f>
        <v>0</v>
      </c>
      <c r="K60" s="743"/>
      <c r="L60" s="743"/>
      <c r="M60" s="743"/>
      <c r="N60" s="743">
        <f>SUM(N5:N59)</f>
        <v>0</v>
      </c>
      <c r="O60" s="96"/>
      <c r="P60" s="96"/>
      <c r="Q60" s="96"/>
      <c r="R60" s="92"/>
      <c r="S60" s="16"/>
    </row>
    <row r="61" spans="1:19" s="84" customFormat="1" x14ac:dyDescent="0.2">
      <c r="A61" s="19"/>
      <c r="B61" s="985" t="s">
        <v>162</v>
      </c>
      <c r="C61" s="986"/>
      <c r="D61" s="986"/>
      <c r="E61" s="986"/>
      <c r="F61" s="986"/>
      <c r="G61" s="97"/>
      <c r="H61" s="97"/>
      <c r="I61" s="20"/>
      <c r="J61" s="98"/>
      <c r="K61" s="98"/>
      <c r="L61" s="98"/>
      <c r="M61" s="98"/>
      <c r="N61" s="98"/>
      <c r="O61" s="98"/>
      <c r="P61" s="20"/>
      <c r="Q61" s="97"/>
      <c r="R61" s="92"/>
      <c r="S61" s="2"/>
    </row>
    <row r="62" spans="1:19" s="11" customFormat="1" ht="12.75" customHeight="1" x14ac:dyDescent="0.2">
      <c r="A62" s="19"/>
      <c r="B62" s="973" t="s">
        <v>246</v>
      </c>
      <c r="C62" s="974"/>
      <c r="D62" s="974"/>
      <c r="E62" s="974"/>
      <c r="F62" s="974"/>
      <c r="G62" s="974"/>
      <c r="H62" s="974"/>
      <c r="I62" s="974"/>
      <c r="J62" s="974"/>
      <c r="K62" s="974"/>
      <c r="L62" s="974"/>
      <c r="M62" s="974"/>
      <c r="N62" s="974"/>
      <c r="O62" s="975"/>
      <c r="P62" s="1017">
        <f>ROUND(SUM(P5,P9,P13,P17,P21,P25,P29,P33,P37,P41,P45,P49,P53,P57),2)</f>
        <v>0</v>
      </c>
      <c r="Q62" s="1017"/>
      <c r="R62" s="99"/>
      <c r="S62" s="16"/>
    </row>
    <row r="63" spans="1:19" s="11" customFormat="1" ht="12.75" customHeight="1" x14ac:dyDescent="0.2">
      <c r="A63" s="19"/>
      <c r="B63" s="973" t="s">
        <v>163</v>
      </c>
      <c r="C63" s="974"/>
      <c r="D63" s="974"/>
      <c r="E63" s="974"/>
      <c r="F63" s="974"/>
      <c r="G63" s="974"/>
      <c r="H63" s="974"/>
      <c r="I63" s="974"/>
      <c r="J63" s="974"/>
      <c r="K63" s="974"/>
      <c r="L63" s="974"/>
      <c r="M63" s="974"/>
      <c r="N63" s="974"/>
      <c r="O63" s="975"/>
      <c r="P63" s="744" t="str">
        <f>IF(CC_AltriCosti_ValoreMaggOnPrimRecSott&gt;0,IF(Parametri_MaggiorazioneSottotetti&gt;0, TEXT(Parametri_MaggiorazioneSottotetti,"0%"),"Nessuna"),"")</f>
        <v/>
      </c>
      <c r="Q63" s="714">
        <f>ImportoOneriUrbRecSottPrimaria*Parametri_MaggiorazioneSottotetti</f>
        <v>0</v>
      </c>
      <c r="R63" s="99"/>
      <c r="S63" s="16"/>
    </row>
    <row r="64" spans="1:19" s="11" customFormat="1" ht="12.75" hidden="1" customHeight="1" x14ac:dyDescent="0.2">
      <c r="A64" s="19"/>
      <c r="B64" s="965" t="s">
        <v>165</v>
      </c>
      <c r="C64" s="998"/>
      <c r="D64" s="998"/>
      <c r="E64" s="998"/>
      <c r="F64" s="998"/>
      <c r="G64" s="998"/>
      <c r="H64" s="998"/>
      <c r="I64" s="998"/>
      <c r="J64" s="998"/>
      <c r="K64" s="998"/>
      <c r="L64" s="998"/>
      <c r="M64" s="998"/>
      <c r="N64" s="998"/>
      <c r="O64" s="966"/>
      <c r="P64" s="744" t="str">
        <f>IF(OnPrim_RiduzionePianoCasa&gt;0,IF(Par_PianoCasa_Rid&gt;0, TEXT(Par_PianoCasa_Rid,"0%")&amp;" a dedurre","Nessuna"),"")</f>
        <v/>
      </c>
      <c r="Q64" s="714">
        <f>IF(PianoCasa="Sì",((ImportoOneriUrb1+ImportoOneriUrb1_NuovaDest+CC_AltriCosti_ValoreMaggOnPrimRecSott)*Par_PianoCasa_Rid),0)</f>
        <v>0</v>
      </c>
      <c r="R64" s="99"/>
      <c r="S64" s="16"/>
    </row>
    <row r="65" spans="1:19" s="11" customFormat="1" ht="12.75" customHeight="1" x14ac:dyDescent="0.2">
      <c r="A65" s="19"/>
      <c r="B65" s="965" t="s">
        <v>365</v>
      </c>
      <c r="C65" s="998"/>
      <c r="D65" s="998"/>
      <c r="E65" s="998"/>
      <c r="F65" s="998"/>
      <c r="G65" s="998"/>
      <c r="H65" s="998"/>
      <c r="I65" s="998"/>
      <c r="J65" s="998"/>
      <c r="K65" s="998"/>
      <c r="L65" s="998"/>
      <c r="M65" s="998"/>
      <c r="N65" s="998"/>
      <c r="O65" s="966"/>
      <c r="P65" s="745" t="str">
        <f>IF(OnPrim_RiduzioneDensificazione&gt;0,IF(Par_Rid_Densificazione_Oneri&gt;0, TEXT(Par_Rid_Densificazione_Oneri,"0%")&amp;" a dedurre","Nessuna"),"")</f>
        <v/>
      </c>
      <c r="Q65" s="723">
        <f>IF(Densificazione="Sì",((ImportoOneriUrb1+CC_AltriCosti_ValoreMaggOnPrimRecSott)*Par_Rid_Densificazione_Oneri),0)</f>
        <v>0</v>
      </c>
      <c r="R65" s="99"/>
      <c r="S65" s="16"/>
    </row>
    <row r="66" spans="1:19" s="11" customFormat="1" ht="12.75" customHeight="1" x14ac:dyDescent="0.2">
      <c r="A66" s="19"/>
      <c r="B66" s="965" t="s">
        <v>270</v>
      </c>
      <c r="C66" s="998"/>
      <c r="D66" s="998"/>
      <c r="E66" s="998"/>
      <c r="F66" s="998"/>
      <c r="G66" s="998"/>
      <c r="H66" s="998"/>
      <c r="I66" s="998"/>
      <c r="J66" s="998"/>
      <c r="K66" s="998"/>
      <c r="L66" s="998"/>
      <c r="M66" s="998"/>
      <c r="N66" s="998"/>
      <c r="O66" s="966"/>
      <c r="P66" s="745" t="str">
        <f>IF(DescInt_RisparmioPercent&gt;0,IF(DescInt_RisparmioPercent&gt;0, TEXT(DescInt_RisparmioPercent,"0%")&amp;" a dedurre","Nessuna"),"")</f>
        <v/>
      </c>
      <c r="Q66" s="723">
        <f>OC_RispEnerResid_Hide+R37</f>
        <v>0</v>
      </c>
      <c r="R66" s="99"/>
      <c r="S66" s="16"/>
    </row>
    <row r="67" spans="1:19" s="11" customFormat="1" ht="12.75" customHeight="1" x14ac:dyDescent="0.2">
      <c r="A67" s="19"/>
      <c r="B67" s="965" t="s">
        <v>164</v>
      </c>
      <c r="C67" s="998"/>
      <c r="D67" s="998"/>
      <c r="E67" s="998"/>
      <c r="F67" s="998"/>
      <c r="G67" s="998"/>
      <c r="H67" s="998"/>
      <c r="I67" s="998"/>
      <c r="J67" s="998"/>
      <c r="K67" s="998"/>
      <c r="L67" s="998"/>
      <c r="M67" s="998"/>
      <c r="N67" s="998"/>
      <c r="O67" s="966"/>
      <c r="P67" s="745" t="str">
        <f>IF(Oneri_Urb_Prim_Corrisposti&gt;0," a dedurre","")</f>
        <v/>
      </c>
      <c r="Q67" s="723">
        <f>Oneri_Urb_Prim_Corrisposti</f>
        <v>0</v>
      </c>
      <c r="R67" s="99"/>
      <c r="S67" s="16"/>
    </row>
    <row r="68" spans="1:19" s="11" customFormat="1" ht="12.75" customHeight="1" x14ac:dyDescent="0.2">
      <c r="A68" s="19"/>
      <c r="B68" s="973" t="s">
        <v>390</v>
      </c>
      <c r="C68" s="974"/>
      <c r="D68" s="974"/>
      <c r="E68" s="974"/>
      <c r="F68" s="974"/>
      <c r="G68" s="974"/>
      <c r="H68" s="974"/>
      <c r="I68" s="974"/>
      <c r="J68" s="974"/>
      <c r="K68" s="974"/>
      <c r="L68" s="974"/>
      <c r="M68" s="974"/>
      <c r="N68" s="974"/>
      <c r="O68" s="975"/>
      <c r="P68" s="460"/>
      <c r="Q68" s="714">
        <f>OpereUrbPrimRealizzate</f>
        <v>0</v>
      </c>
      <c r="R68" s="99"/>
      <c r="S68" s="16"/>
    </row>
    <row r="69" spans="1:19" s="11" customFormat="1" ht="12.75" customHeight="1" x14ac:dyDescent="0.2">
      <c r="A69" s="19"/>
      <c r="B69" s="973" t="s">
        <v>341</v>
      </c>
      <c r="C69" s="974"/>
      <c r="D69" s="974"/>
      <c r="E69" s="974"/>
      <c r="F69" s="974"/>
      <c r="G69" s="974"/>
      <c r="H69" s="974"/>
      <c r="I69" s="974"/>
      <c r="J69" s="974"/>
      <c r="K69" s="974"/>
      <c r="L69" s="974"/>
      <c r="M69" s="974"/>
      <c r="N69" s="974"/>
      <c r="O69" s="975"/>
      <c r="P69" s="460"/>
      <c r="Q69" s="716">
        <f>IF(Ou_PrimariaDefiniti="No",-(Riepilogo_OneriUrbPrimEsclusoSott+Riepilogo_OneriUrbPrimCambioUso+Riepilogo_OneriUrbPrimSott),0)</f>
        <v>0</v>
      </c>
      <c r="R69" s="99"/>
      <c r="S69" s="16"/>
    </row>
    <row r="70" spans="1:19" s="11" customFormat="1" ht="12.75" customHeight="1" x14ac:dyDescent="0.2">
      <c r="A70" s="19"/>
      <c r="B70" s="990" t="s">
        <v>99</v>
      </c>
      <c r="C70" s="1004"/>
      <c r="D70" s="1004"/>
      <c r="E70" s="1004"/>
      <c r="F70" s="1004"/>
      <c r="G70" s="1004"/>
      <c r="H70" s="1004"/>
      <c r="I70" s="1004"/>
      <c r="J70" s="1004"/>
      <c r="K70" s="1004"/>
      <c r="L70" s="1004"/>
      <c r="M70" s="1004"/>
      <c r="N70" s="1004"/>
      <c r="O70" s="991"/>
      <c r="P70" s="1014">
        <f>IF(ImportoOneriUrb1+CC_AltriCosti_ValoreMaggOnPrimRecSott-OnPrim_RiduzionePianoCasa-OnPrim_RiduzioneDensificazione-OnPrim_RiduzioneRispEnerg-CC_Oneri_Urb_Prim_Corrisposti-CC_OpereUrbPrimRealizzate+CC_UrbPrimScomputati&gt;0,ImportoOneriUrb1+CC_AltriCosti_ValoreMaggOnPrimRecSott-OnPrim_RiduzionePianoCasa-OnPrim_RiduzioneDensificazione-OnPrim_RiduzioneRispEnerg-CC_Oneri_Urb_Prim_Corrisposti-CC_OpereUrbPrimRealizzate+CC_UrbPrimScomputati,0)</f>
        <v>0</v>
      </c>
      <c r="Q70" s="1015"/>
      <c r="R70" s="99"/>
      <c r="S70" s="16"/>
    </row>
    <row r="71" spans="1:19" s="11" customFormat="1" ht="12.75" customHeight="1" x14ac:dyDescent="0.2">
      <c r="A71" s="19"/>
      <c r="B71" s="985" t="s">
        <v>170</v>
      </c>
      <c r="C71" s="986"/>
      <c r="D71" s="986"/>
      <c r="E71" s="986"/>
      <c r="F71" s="986"/>
      <c r="G71" s="395"/>
      <c r="H71" s="395"/>
      <c r="I71" s="395"/>
      <c r="J71" s="395"/>
      <c r="K71" s="395"/>
      <c r="L71" s="395"/>
      <c r="M71" s="395"/>
      <c r="N71" s="395"/>
      <c r="O71" s="395"/>
      <c r="P71" s="399"/>
      <c r="Q71" s="398"/>
      <c r="R71" s="99"/>
      <c r="S71" s="16"/>
    </row>
    <row r="72" spans="1:19" s="11" customFormat="1" ht="12.75" customHeight="1" x14ac:dyDescent="0.2">
      <c r="A72" s="19"/>
      <c r="B72" s="973" t="s">
        <v>246</v>
      </c>
      <c r="C72" s="974"/>
      <c r="D72" s="974"/>
      <c r="E72" s="974"/>
      <c r="F72" s="974"/>
      <c r="G72" s="974"/>
      <c r="H72" s="974"/>
      <c r="I72" s="974"/>
      <c r="J72" s="974"/>
      <c r="K72" s="974"/>
      <c r="L72" s="974"/>
      <c r="M72" s="974"/>
      <c r="N72" s="974"/>
      <c r="O72" s="975"/>
      <c r="P72" s="1017">
        <f>ROUND(SUM(P6,P10,P14,P18,P22,P26,P30,P34,P38,P42,P46,P50,P54,P58),2)</f>
        <v>0</v>
      </c>
      <c r="Q72" s="1017"/>
      <c r="R72" s="99"/>
      <c r="S72" s="16"/>
    </row>
    <row r="73" spans="1:19" s="11" customFormat="1" ht="12.75" customHeight="1" x14ac:dyDescent="0.2">
      <c r="A73" s="19"/>
      <c r="B73" s="965" t="s">
        <v>247</v>
      </c>
      <c r="C73" s="998"/>
      <c r="D73" s="998"/>
      <c r="E73" s="998"/>
      <c r="F73" s="998"/>
      <c r="G73" s="998"/>
      <c r="H73" s="998"/>
      <c r="I73" s="998"/>
      <c r="J73" s="998"/>
      <c r="K73" s="998"/>
      <c r="L73" s="998"/>
      <c r="M73" s="998"/>
      <c r="N73" s="998"/>
      <c r="O73" s="966"/>
      <c r="P73" s="744" t="str">
        <f>IF(CC_AltriCosti_ValoreMaggOnRecSott&gt;0,IF(Parametri_MaggiorazioneSottotetti&gt;0, TEXT(Parametri_MaggiorazioneSottotetti,"0%"),"Nessuna"),"")</f>
        <v/>
      </c>
      <c r="Q73" s="714">
        <f>ImportoOneriUrbRecSottSecondaria*Parametri_MaggiorazioneSottotetti</f>
        <v>0</v>
      </c>
      <c r="R73" s="99"/>
      <c r="S73" s="16"/>
    </row>
    <row r="74" spans="1:19" s="11" customFormat="1" ht="12.75" hidden="1" customHeight="1" x14ac:dyDescent="0.2">
      <c r="A74" s="19"/>
      <c r="B74" s="965" t="s">
        <v>165</v>
      </c>
      <c r="C74" s="998"/>
      <c r="D74" s="998"/>
      <c r="E74" s="998"/>
      <c r="F74" s="998"/>
      <c r="G74" s="998"/>
      <c r="H74" s="998"/>
      <c r="I74" s="998"/>
      <c r="J74" s="998"/>
      <c r="K74" s="998"/>
      <c r="L74" s="998"/>
      <c r="M74" s="998"/>
      <c r="N74" s="998"/>
      <c r="O74" s="966"/>
      <c r="P74" s="744" t="str">
        <f>IF(OnSec_RiduzionePianoCasa&gt;0,IF(Par_PianoCasa_Rid&gt;0, TEXT(Par_PianoCasa_Rid,"0%")&amp;" a dedurre","Nessuna"),"")</f>
        <v/>
      </c>
      <c r="Q74" s="714">
        <f>IF(PianoCasa="Sì",((ImportoOneriUrb2+ImportoOneriUrb2_NuovaDest+CC_AltriCosti_ValoreMaggOnRecSott)*Par_PianoCasa_Rid),0)</f>
        <v>0</v>
      </c>
      <c r="R74" s="99"/>
      <c r="S74" s="16"/>
    </row>
    <row r="75" spans="1:19" s="11" customFormat="1" ht="12.75" customHeight="1" x14ac:dyDescent="0.2">
      <c r="A75" s="19"/>
      <c r="B75" s="965" t="s">
        <v>365</v>
      </c>
      <c r="C75" s="998"/>
      <c r="D75" s="998"/>
      <c r="E75" s="998"/>
      <c r="F75" s="998"/>
      <c r="G75" s="998"/>
      <c r="H75" s="998"/>
      <c r="I75" s="998"/>
      <c r="J75" s="998"/>
      <c r="K75" s="998"/>
      <c r="L75" s="998"/>
      <c r="M75" s="998"/>
      <c r="N75" s="998"/>
      <c r="O75" s="966"/>
      <c r="P75" s="745" t="str">
        <f>IF(OnPrim_RiduzioneDensificazione&gt;0,IF(Par_Rid_Densificazione_Oneri&gt;0, TEXT(Par_Rid_Densificazione_Oneri,"0%")&amp;" a dedurre","Nessuna"),"")</f>
        <v/>
      </c>
      <c r="Q75" s="714">
        <f>IF(Densificazione="Sì",((ImportoOneriUrb2+CC_AltriCosti_ValoreMaggOnRecSott)*Par_Rid_Densificazione_Oneri),0)</f>
        <v>0</v>
      </c>
      <c r="R75" s="99"/>
      <c r="S75" s="16"/>
    </row>
    <row r="76" spans="1:19" s="11" customFormat="1" ht="12.75" customHeight="1" x14ac:dyDescent="0.2">
      <c r="A76" s="19"/>
      <c r="B76" s="965" t="s">
        <v>270</v>
      </c>
      <c r="C76" s="998"/>
      <c r="D76" s="998"/>
      <c r="E76" s="998"/>
      <c r="F76" s="998"/>
      <c r="G76" s="998"/>
      <c r="H76" s="998"/>
      <c r="I76" s="998"/>
      <c r="J76" s="998"/>
      <c r="K76" s="998"/>
      <c r="L76" s="998"/>
      <c r="M76" s="998"/>
      <c r="N76" s="998"/>
      <c r="O76" s="966"/>
      <c r="P76" s="744" t="str">
        <f>IF(DescInt_RisparmioPercent&gt;0,IF(DescInt_RisparmioPercent&gt;0, TEXT(DescInt_RisparmioPercent,"0%")&amp;" a dedurre","Nessuna"),"")</f>
        <v/>
      </c>
      <c r="Q76" s="714">
        <f>OC_RispEnerSecResid_Hide+R38</f>
        <v>0</v>
      </c>
      <c r="R76" s="99"/>
      <c r="S76" s="16"/>
    </row>
    <row r="77" spans="1:19" s="11" customFormat="1" ht="12.75" customHeight="1" x14ac:dyDescent="0.2">
      <c r="A77" s="19"/>
      <c r="B77" s="965" t="s">
        <v>164</v>
      </c>
      <c r="C77" s="998"/>
      <c r="D77" s="998"/>
      <c r="E77" s="998"/>
      <c r="F77" s="998"/>
      <c r="G77" s="998"/>
      <c r="H77" s="998"/>
      <c r="I77" s="998"/>
      <c r="J77" s="998"/>
      <c r="K77" s="998"/>
      <c r="L77" s="998"/>
      <c r="M77" s="998"/>
      <c r="N77" s="998"/>
      <c r="O77" s="966"/>
      <c r="P77" s="744" t="str">
        <f>IF(Oneri_Urb_Sec_Corrisposti&gt;0," a dedurre","")</f>
        <v/>
      </c>
      <c r="Q77" s="714">
        <f>Oneri_Urb_Sec_Corrisposti</f>
        <v>0</v>
      </c>
      <c r="R77" s="99"/>
      <c r="S77" s="16"/>
    </row>
    <row r="78" spans="1:19" s="11" customFormat="1" ht="12.75" customHeight="1" x14ac:dyDescent="0.2">
      <c r="A78" s="19"/>
      <c r="B78" s="973" t="s">
        <v>391</v>
      </c>
      <c r="C78" s="974"/>
      <c r="D78" s="974"/>
      <c r="E78" s="974"/>
      <c r="F78" s="974"/>
      <c r="G78" s="974"/>
      <c r="H78" s="974"/>
      <c r="I78" s="974"/>
      <c r="J78" s="974"/>
      <c r="K78" s="974"/>
      <c r="L78" s="974"/>
      <c r="M78" s="974"/>
      <c r="N78" s="974"/>
      <c r="O78" s="975"/>
      <c r="P78" s="156"/>
      <c r="Q78" s="714">
        <f>OpereUrbSecRealizzate</f>
        <v>0</v>
      </c>
      <c r="R78" s="99"/>
      <c r="S78" s="16"/>
    </row>
    <row r="79" spans="1:19" s="11" customFormat="1" ht="12.75" customHeight="1" x14ac:dyDescent="0.2">
      <c r="A79" s="19"/>
      <c r="B79" s="394" t="s">
        <v>341</v>
      </c>
      <c r="C79" s="395"/>
      <c r="D79" s="395"/>
      <c r="E79" s="395"/>
      <c r="F79" s="395"/>
      <c r="G79" s="395"/>
      <c r="H79" s="395"/>
      <c r="I79" s="395"/>
      <c r="J79" s="395"/>
      <c r="K79" s="395"/>
      <c r="L79" s="395"/>
      <c r="M79" s="395"/>
      <c r="N79" s="395"/>
      <c r="O79" s="634"/>
      <c r="P79" s="156"/>
      <c r="Q79" s="716">
        <f>IF(Ou_SecDefiniti="No",-(Riepilogo_OneriUrbSecEsclusoSott+Riepilogo_OneriUrbSecCambioUso+Riepilogo_OneriUrbSecSott),0)</f>
        <v>0</v>
      </c>
      <c r="R79" s="99"/>
      <c r="S79" s="16"/>
    </row>
    <row r="80" spans="1:19" s="11" customFormat="1" ht="12.75" customHeight="1" x14ac:dyDescent="0.2">
      <c r="A80" s="19"/>
      <c r="B80" s="990" t="s">
        <v>99</v>
      </c>
      <c r="C80" s="1004"/>
      <c r="D80" s="1004"/>
      <c r="E80" s="1004"/>
      <c r="F80" s="1004"/>
      <c r="G80" s="1004"/>
      <c r="H80" s="1004"/>
      <c r="I80" s="1004"/>
      <c r="J80" s="1004"/>
      <c r="K80" s="1004"/>
      <c r="L80" s="1004"/>
      <c r="M80" s="1004"/>
      <c r="N80" s="1004"/>
      <c r="O80" s="991"/>
      <c r="P80" s="1014">
        <f>IF(ImportoOneriUrb2+CC_AltriCosti_ValoreMaggOnRecSott-OnSec_RiduzionePianoCasa-OnSec_RiduzioneDensificazione-OnSec_RiduzioneRispEnerg-CC_Oneri_Urb_Sec_Corrisposti-CC_OpereUrbSecRealizzate+CC_UrbSecScomputati&gt;0,ImportoOneriUrb2+CC_AltriCosti_ValoreMaggOnRecSott-OnSec_RiduzionePianoCasa-OnSec_RiduzioneDensificazione-OnSec_RiduzioneRispEnerg-CC_Oneri_Urb_Sec_Corrisposti-CC_OpereUrbSecRealizzate+CC_UrbSecScomputati,0)</f>
        <v>0</v>
      </c>
      <c r="Q80" s="1015"/>
      <c r="R80" s="99"/>
      <c r="S80" s="16"/>
    </row>
    <row r="81" spans="1:19" s="11" customFormat="1" ht="12.75" customHeight="1" x14ac:dyDescent="0.2">
      <c r="A81" s="19"/>
      <c r="B81" s="985" t="s">
        <v>82</v>
      </c>
      <c r="C81" s="986"/>
      <c r="D81" s="986"/>
      <c r="E81" s="986"/>
      <c r="F81" s="986"/>
      <c r="G81" s="986"/>
      <c r="H81" s="986"/>
      <c r="I81" s="986"/>
      <c r="J81" s="986"/>
      <c r="K81" s="986"/>
      <c r="L81" s="986"/>
      <c r="M81" s="986"/>
      <c r="N81" s="986"/>
      <c r="O81" s="986"/>
      <c r="P81" s="596"/>
      <c r="Q81" s="596"/>
      <c r="R81" s="99"/>
      <c r="S81" s="16"/>
    </row>
    <row r="82" spans="1:19" s="11" customFormat="1" ht="12.75" customHeight="1" x14ac:dyDescent="0.2">
      <c r="A82" s="19"/>
      <c r="B82" s="973" t="s">
        <v>246</v>
      </c>
      <c r="C82" s="974"/>
      <c r="D82" s="974"/>
      <c r="E82" s="974"/>
      <c r="F82" s="974"/>
      <c r="G82" s="974"/>
      <c r="H82" s="974"/>
      <c r="I82" s="974"/>
      <c r="J82" s="974"/>
      <c r="K82" s="974"/>
      <c r="L82" s="974"/>
      <c r="M82" s="974"/>
      <c r="N82" s="974"/>
      <c r="O82" s="975"/>
      <c r="P82" s="134"/>
      <c r="Q82" s="714">
        <f>ROUND(SUM(P7,P11,P15,P19,P23,P27,P31,P35,P39,P43,P47,P51,P55,P59),2)</f>
        <v>0</v>
      </c>
      <c r="R82" s="99"/>
      <c r="S82" s="16"/>
    </row>
    <row r="83" spans="1:19" s="11" customFormat="1" ht="12.75" customHeight="1" x14ac:dyDescent="0.2">
      <c r="A83" s="19"/>
      <c r="B83" s="965" t="s">
        <v>164</v>
      </c>
      <c r="C83" s="998"/>
      <c r="D83" s="998"/>
      <c r="E83" s="998"/>
      <c r="F83" s="998"/>
      <c r="G83" s="998"/>
      <c r="H83" s="998"/>
      <c r="I83" s="998"/>
      <c r="J83" s="998"/>
      <c r="K83" s="998"/>
      <c r="L83" s="998"/>
      <c r="M83" s="998"/>
      <c r="N83" s="998"/>
      <c r="O83" s="966"/>
      <c r="P83" s="134"/>
      <c r="Q83" s="714">
        <f>SmaltimRif_Corrisposti</f>
        <v>0</v>
      </c>
      <c r="R83" s="99"/>
      <c r="S83" s="16"/>
    </row>
    <row r="84" spans="1:19" s="11" customFormat="1" ht="12.75" customHeight="1" x14ac:dyDescent="0.2">
      <c r="A84" s="19"/>
      <c r="B84" s="990" t="s">
        <v>99</v>
      </c>
      <c r="C84" s="1004"/>
      <c r="D84" s="1004"/>
      <c r="E84" s="1004"/>
      <c r="F84" s="1004"/>
      <c r="G84" s="1004"/>
      <c r="H84" s="1004"/>
      <c r="I84" s="1004"/>
      <c r="J84" s="1004"/>
      <c r="K84" s="1004"/>
      <c r="L84" s="1004"/>
      <c r="M84" s="1004"/>
      <c r="N84" s="1004"/>
      <c r="O84" s="991"/>
      <c r="P84" s="1014">
        <f>ROUND(ImportoOneriSmaltimentoRif-CC_SmaltimRif_Corrisposti,2)</f>
        <v>0</v>
      </c>
      <c r="Q84" s="1015"/>
      <c r="R84" s="99"/>
      <c r="S84" s="16"/>
    </row>
    <row r="85" spans="1:19" s="11" customFormat="1" ht="12.75" customHeight="1" x14ac:dyDescent="0.2">
      <c r="A85" s="19"/>
      <c r="B85" s="394"/>
      <c r="C85" s="395"/>
      <c r="D85" s="395"/>
      <c r="E85" s="395"/>
      <c r="F85" s="395"/>
      <c r="G85" s="395"/>
      <c r="H85" s="395"/>
      <c r="I85" s="395"/>
      <c r="J85" s="395"/>
      <c r="K85" s="395"/>
      <c r="L85" s="395"/>
      <c r="M85" s="395"/>
      <c r="N85" s="395"/>
      <c r="O85" s="395"/>
      <c r="P85" s="400"/>
      <c r="Q85" s="400"/>
      <c r="R85" s="99"/>
      <c r="S85" s="16"/>
    </row>
    <row r="86" spans="1:19" s="11" customFormat="1" ht="15" customHeight="1" x14ac:dyDescent="0.2">
      <c r="A86" s="19"/>
      <c r="B86" s="1053" t="s">
        <v>240</v>
      </c>
      <c r="C86" s="1054"/>
      <c r="D86" s="1054"/>
      <c r="E86" s="1054"/>
      <c r="F86" s="1054"/>
      <c r="G86" s="1054"/>
      <c r="H86" s="1054"/>
      <c r="I86" s="1054"/>
      <c r="J86" s="1054"/>
      <c r="K86" s="1054"/>
      <c r="L86" s="1054"/>
      <c r="M86" s="1054"/>
      <c r="N86" s="1054"/>
      <c r="O86" s="1055"/>
      <c r="P86" s="1062">
        <f>ROUND(Cc_OneriUrbPrimariaRif+Cc_OneriUrbSecondariaRif+Cc_OneriSmaltRifiutiRif,2)</f>
        <v>0</v>
      </c>
      <c r="Q86" s="1062"/>
      <c r="R86" s="99"/>
      <c r="S86" s="16"/>
    </row>
    <row r="87" spans="1:19" s="6" customFormat="1" ht="12.75" customHeight="1" x14ac:dyDescent="0.2">
      <c r="A87" s="19"/>
      <c r="B87" s="93"/>
      <c r="C87" s="21"/>
      <c r="D87" s="22"/>
      <c r="E87" s="23"/>
      <c r="F87" s="22"/>
      <c r="G87" s="20"/>
      <c r="H87" s="20"/>
      <c r="I87" s="20"/>
      <c r="J87" s="20"/>
      <c r="K87" s="20"/>
      <c r="L87" s="20"/>
      <c r="M87" s="20"/>
      <c r="N87" s="20"/>
      <c r="O87" s="20"/>
      <c r="P87" s="20"/>
      <c r="Q87" s="118"/>
      <c r="R87" s="92"/>
      <c r="S87" s="2"/>
    </row>
    <row r="88" spans="1:19" s="9" customFormat="1" ht="15" customHeight="1" x14ac:dyDescent="0.25">
      <c r="A88" s="29"/>
      <c r="B88" s="1011" t="s">
        <v>187</v>
      </c>
      <c r="C88" s="1012"/>
      <c r="D88" s="1012"/>
      <c r="E88" s="1012"/>
      <c r="F88" s="1012"/>
      <c r="G88" s="1012"/>
      <c r="H88" s="1012"/>
      <c r="I88" s="1012"/>
      <c r="J88" s="1012"/>
      <c r="K88" s="1012"/>
      <c r="L88" s="1012"/>
      <c r="M88" s="1012"/>
      <c r="N88" s="1012"/>
      <c r="O88" s="1012"/>
      <c r="P88" s="1012"/>
      <c r="Q88" s="1012"/>
      <c r="R88" s="1013"/>
      <c r="S88" s="14"/>
    </row>
    <row r="89" spans="1:19" s="10" customFormat="1" ht="15" customHeight="1" x14ac:dyDescent="0.25">
      <c r="A89" s="25"/>
      <c r="B89" s="87"/>
      <c r="C89" s="88"/>
      <c r="D89" s="1010" t="s">
        <v>149</v>
      </c>
      <c r="E89" s="1010"/>
      <c r="F89" s="1010"/>
      <c r="G89" s="15"/>
      <c r="H89" s="1010" t="s">
        <v>150</v>
      </c>
      <c r="I89" s="1010"/>
      <c r="J89" s="1010"/>
      <c r="K89" s="833"/>
      <c r="L89" s="833"/>
      <c r="M89" s="833"/>
      <c r="N89" s="833"/>
      <c r="O89" s="89"/>
      <c r="P89" s="25"/>
      <c r="Q89" s="90"/>
      <c r="R89" s="91"/>
      <c r="S89" s="15"/>
    </row>
    <row r="90" spans="1:19" s="192" customFormat="1" ht="20.100000000000001" customHeight="1" x14ac:dyDescent="0.2">
      <c r="A90" s="185"/>
      <c r="B90" s="1005" t="str">
        <f>Parametri_DestUsoPersonalizzazione1 &amp; IF(EdiliziaConvenzionata="No",""," edilizia conv.")</f>
        <v>Residenziale</v>
      </c>
      <c r="C90" s="1006"/>
      <c r="D90" s="996">
        <f>Ou_UsoIniziale_Res_ParVirt</f>
        <v>0</v>
      </c>
      <c r="E90" s="997"/>
      <c r="F90" s="997"/>
      <c r="G90" s="187"/>
      <c r="H90" s="996">
        <f>Ou_NuovaEd_Res_ParVirt</f>
        <v>0</v>
      </c>
      <c r="I90" s="996"/>
      <c r="J90" s="996"/>
      <c r="K90" s="855"/>
      <c r="L90" s="855"/>
      <c r="M90" s="855"/>
      <c r="N90" s="855"/>
      <c r="O90" s="188"/>
      <c r="P90" s="189"/>
      <c r="Q90" s="189"/>
      <c r="R90" s="190"/>
      <c r="S90" s="191"/>
    </row>
    <row r="91" spans="1:19" s="11" customFormat="1" ht="12.75" customHeight="1" x14ac:dyDescent="0.2">
      <c r="A91" s="19"/>
      <c r="B91" s="1000" t="s">
        <v>79</v>
      </c>
      <c r="C91" s="1001"/>
      <c r="D91" s="733">
        <f>IF(ISERROR(MATCH(ZonaTerritoriale,ElencoZone,0))=TRUE,0,INDEX(MatriceParametri,MATCH(ZonaTerritoriale,ElencoZone,0),IF(DatiGen_ResidenzialeClasseA="No",1,3)))</f>
        <v>4</v>
      </c>
      <c r="E91" s="94"/>
      <c r="F91" s="737">
        <f>PRODUCT(D90,D91)</f>
        <v>0</v>
      </c>
      <c r="G91" s="107"/>
      <c r="H91" s="733">
        <f>IF(ISERROR(MATCH(ZonaTerritoriale,ElencoZone,0))=TRUE,0,INDEX(MatriceParametri,MATCH(ZonaTerritoriale,ElencoZone,0),IF(DatiGen_ResidenzialeClasseA="No",1,3)))</f>
        <v>4</v>
      </c>
      <c r="I91" s="94"/>
      <c r="J91" s="737">
        <f>PRODUCT(H90,H91)</f>
        <v>0</v>
      </c>
      <c r="K91" s="829"/>
      <c r="L91" s="829"/>
      <c r="M91" s="829"/>
      <c r="N91" s="829"/>
      <c r="O91" s="103"/>
      <c r="P91" s="20"/>
      <c r="Q91" s="20"/>
      <c r="R91" s="92"/>
      <c r="S91" s="16"/>
    </row>
    <row r="92" spans="1:19" s="11" customFormat="1" ht="12.75" customHeight="1" x14ac:dyDescent="0.2">
      <c r="A92" s="19"/>
      <c r="B92" s="1002" t="s">
        <v>80</v>
      </c>
      <c r="C92" s="1003"/>
      <c r="D92" s="734">
        <f>IF(ISERROR(MATCH(ZonaTerritoriale,ElencoZone,0))=TRUE,0,INDEX(MatriceParametri,MATCH(ZonaTerritoriale,ElencoZone,0)+1,IF(DatiGen_ResidenzialeClasseA="No",1,3)))</f>
        <v>8</v>
      </c>
      <c r="E92" s="94"/>
      <c r="F92" s="737">
        <f>PRODUCT(D90,D92)</f>
        <v>0</v>
      </c>
      <c r="G92" s="20"/>
      <c r="H92" s="734">
        <f>IF(ISERROR(MATCH(ZonaTerritoriale,ElencoZone,0))=TRUE,0,INDEX(MatriceParametri,MATCH(ZonaTerritoriale,ElencoZone,0)+1,IF(DatiGen_ResidenzialeClasseA="No",1,3)))</f>
        <v>8</v>
      </c>
      <c r="I92" s="94"/>
      <c r="J92" s="737">
        <f>PRODUCT(H90,H92)</f>
        <v>0</v>
      </c>
      <c r="K92" s="829"/>
      <c r="L92" s="829"/>
      <c r="M92" s="829"/>
      <c r="N92" s="829"/>
      <c r="O92" s="103"/>
      <c r="P92" s="20"/>
      <c r="Q92" s="20"/>
      <c r="R92" s="92"/>
      <c r="S92" s="16"/>
    </row>
    <row r="93" spans="1:19" s="11" customFormat="1" ht="12.75" customHeight="1" x14ac:dyDescent="0.2">
      <c r="A93" s="19"/>
      <c r="B93" s="1002" t="s">
        <v>81</v>
      </c>
      <c r="C93" s="1003"/>
      <c r="D93" s="735">
        <f>IF(ISERROR(MATCH(ZonaTerritoriale,ElencoZone,0))=TRUE,0,INDEX(MatriceParametri,MATCH(ZonaTerritoriale,ElencoZone,0)+2,IF(DatiGen_ResidenzialeClasseA="No",1,3)))</f>
        <v>0</v>
      </c>
      <c r="E93" s="94"/>
      <c r="F93" s="737">
        <f>PRODUCT(D90,D93)</f>
        <v>0</v>
      </c>
      <c r="G93" s="20"/>
      <c r="H93" s="735">
        <f>IF(ISERROR(MATCH(ZonaTerritoriale,ElencoZone,0))=TRUE,0,INDEX(MatriceParametri,MATCH(ZonaTerritoriale,ElencoZone,0)+2,IF(DatiGen_ResidenzialeClasseA="No",1,3)))</f>
        <v>0</v>
      </c>
      <c r="I93" s="94"/>
      <c r="J93" s="737">
        <f>PRODUCT(H90,H93)</f>
        <v>0</v>
      </c>
      <c r="K93" s="829"/>
      <c r="L93" s="829"/>
      <c r="M93" s="829"/>
      <c r="N93" s="829"/>
      <c r="O93" s="103"/>
      <c r="P93" s="20"/>
      <c r="Q93" s="20"/>
      <c r="R93" s="92"/>
      <c r="S93" s="16"/>
    </row>
    <row r="94" spans="1:19" s="192" customFormat="1" ht="20.100000000000001" customHeight="1" x14ac:dyDescent="0.2">
      <c r="A94" s="185"/>
      <c r="B94" s="1005" t="str">
        <f>Parametri_DestUsoPersonalizzazione2</f>
        <v>Commerciale direzionale</v>
      </c>
      <c r="C94" s="1006"/>
      <c r="D94" s="999">
        <f>Ou_UsoIniziale_Com_ParVirt</f>
        <v>0</v>
      </c>
      <c r="E94" s="999"/>
      <c r="F94" s="999"/>
      <c r="G94" s="187"/>
      <c r="H94" s="999">
        <f>Ou_NuovaEd_Com_ParVirt</f>
        <v>0</v>
      </c>
      <c r="I94" s="999"/>
      <c r="J94" s="999"/>
      <c r="K94" s="835"/>
      <c r="L94" s="835"/>
      <c r="M94" s="835"/>
      <c r="N94" s="835"/>
      <c r="O94" s="193"/>
      <c r="P94" s="189"/>
      <c r="Q94" s="189"/>
      <c r="R94" s="190"/>
      <c r="S94" s="191"/>
    </row>
    <row r="95" spans="1:19" s="11" customFormat="1" ht="12.75" customHeight="1" x14ac:dyDescent="0.2">
      <c r="A95" s="19"/>
      <c r="B95" s="1000" t="s">
        <v>79</v>
      </c>
      <c r="C95" s="1001"/>
      <c r="D95" s="739">
        <f>IF(ISERROR(MATCH(ZonaTerritoriale,ElencoZone,0))=TRUE,0,INDEX(MatriceParametri,MATCH(ZonaTerritoriale,ElencoZone,0),7))</f>
        <v>54</v>
      </c>
      <c r="E95" s="94"/>
      <c r="F95" s="737">
        <f>PRODUCT(D94,D95)</f>
        <v>0</v>
      </c>
      <c r="G95" s="107"/>
      <c r="H95" s="739">
        <f>IF(ISERROR(MATCH(ZonaTerritoriale,ElencoZone,0))=TRUE,0,INDEX(MatriceParametri,MATCH(ZonaTerritoriale,ElencoZone,0),7))</f>
        <v>54</v>
      </c>
      <c r="I95" s="94"/>
      <c r="J95" s="737">
        <f>PRODUCT(H94,H95)</f>
        <v>0</v>
      </c>
      <c r="K95" s="829"/>
      <c r="L95" s="829"/>
      <c r="M95" s="829"/>
      <c r="N95" s="829"/>
      <c r="O95" s="103"/>
      <c r="P95" s="20"/>
      <c r="Q95" s="20"/>
      <c r="R95" s="92"/>
      <c r="S95" s="16"/>
    </row>
    <row r="96" spans="1:19" s="11" customFormat="1" ht="12.75" customHeight="1" x14ac:dyDescent="0.2">
      <c r="A96" s="19"/>
      <c r="B96" s="1002" t="s">
        <v>80</v>
      </c>
      <c r="C96" s="1003"/>
      <c r="D96" s="739">
        <f>IF(ISERROR(MATCH(ZonaTerritoriale,ElencoZone,0))=TRUE,0,INDEX(MatriceParametri,MATCH(ZonaTerritoriale,ElencoZone,0)+1,7))</f>
        <v>39</v>
      </c>
      <c r="E96" s="94"/>
      <c r="F96" s="737">
        <f>PRODUCT(D94,D96)</f>
        <v>0</v>
      </c>
      <c r="G96" s="20"/>
      <c r="H96" s="739">
        <f>IF(ISERROR(MATCH(ZonaTerritoriale,ElencoZone,0))=TRUE,0,INDEX(MatriceParametri,MATCH(ZonaTerritoriale,ElencoZone,0)+1,7))</f>
        <v>39</v>
      </c>
      <c r="I96" s="94"/>
      <c r="J96" s="737">
        <f>PRODUCT(H94,H96)</f>
        <v>0</v>
      </c>
      <c r="K96" s="829"/>
      <c r="L96" s="829"/>
      <c r="M96" s="829"/>
      <c r="N96" s="829"/>
      <c r="O96" s="103"/>
      <c r="P96" s="20"/>
      <c r="Q96" s="20"/>
      <c r="R96" s="92"/>
      <c r="S96" s="16"/>
    </row>
    <row r="97" spans="1:19" s="11" customFormat="1" ht="12.75" customHeight="1" x14ac:dyDescent="0.2">
      <c r="A97" s="19"/>
      <c r="B97" s="1002" t="s">
        <v>81</v>
      </c>
      <c r="C97" s="1003"/>
      <c r="D97" s="739">
        <f>IF(ISERROR(MATCH(ZonaTerritoriale,ElencoZone,0))=TRUE,0,INDEX(MatriceParametri,MATCH(ZonaTerritoriale,ElencoZone,0)+2,7))</f>
        <v>0</v>
      </c>
      <c r="E97" s="94"/>
      <c r="F97" s="737">
        <f>PRODUCT(D94,D97)</f>
        <v>0</v>
      </c>
      <c r="G97" s="20"/>
      <c r="H97" s="739">
        <f>IF(ISERROR(MATCH(ZonaTerritoriale,ElencoZone,0))=TRUE,0,INDEX(MatriceParametri,MATCH(ZonaTerritoriale,ElencoZone,0)+2,7))</f>
        <v>0</v>
      </c>
      <c r="I97" s="94"/>
      <c r="J97" s="737">
        <f>PRODUCT(H94,H97)</f>
        <v>0</v>
      </c>
      <c r="K97" s="829"/>
      <c r="L97" s="829"/>
      <c r="M97" s="829"/>
      <c r="N97" s="829"/>
      <c r="O97" s="103"/>
      <c r="P97" s="20"/>
      <c r="Q97" s="20"/>
      <c r="R97" s="92"/>
      <c r="S97" s="16"/>
    </row>
    <row r="98" spans="1:19" s="192" customFormat="1" ht="20.100000000000001" customHeight="1" x14ac:dyDescent="0.2">
      <c r="A98" s="185"/>
      <c r="B98" s="1005" t="str">
        <f>Parametri_DestUsoPersonalizzazione3</f>
        <v>Industriale artigianale</v>
      </c>
      <c r="C98" s="1006"/>
      <c r="D98" s="999">
        <f>Ou_UsoIniziale_IndArt_ParVirt</f>
        <v>0</v>
      </c>
      <c r="E98" s="999"/>
      <c r="F98" s="999"/>
      <c r="G98" s="187"/>
      <c r="H98" s="999">
        <f>Ou_NuovaEd_IndArt_ParVirt</f>
        <v>0</v>
      </c>
      <c r="I98" s="999"/>
      <c r="J98" s="999"/>
      <c r="K98" s="835"/>
      <c r="L98" s="835"/>
      <c r="M98" s="835"/>
      <c r="N98" s="835"/>
      <c r="O98" s="193"/>
      <c r="P98" s="189"/>
      <c r="Q98" s="189"/>
      <c r="R98" s="190"/>
      <c r="S98" s="191"/>
    </row>
    <row r="99" spans="1:19" s="11" customFormat="1" ht="12.75" customHeight="1" x14ac:dyDescent="0.2">
      <c r="A99" s="19"/>
      <c r="B99" s="1000" t="s">
        <v>79</v>
      </c>
      <c r="C99" s="1001"/>
      <c r="D99" s="739">
        <f>IF(ISERROR(MATCH(ZonaTerritoriale,ElencoZone,0))=TRUE,0,INDEX(MatriceParametri,MATCH(ZonaTerritoriale,ElencoZone,0),10))</f>
        <v>15</v>
      </c>
      <c r="E99" s="94"/>
      <c r="F99" s="737">
        <f>PRODUCT(D98,D99)</f>
        <v>0</v>
      </c>
      <c r="G99" s="107"/>
      <c r="H99" s="739">
        <f>IF(ISERROR(MATCH(ZonaTerritoriale,ElencoZone,0))=TRUE,0,INDEX(MatriceParametri,MATCH(ZonaTerritoriale,ElencoZone,0),10))</f>
        <v>15</v>
      </c>
      <c r="I99" s="94"/>
      <c r="J99" s="737">
        <f>PRODUCT(H98,H99)</f>
        <v>0</v>
      </c>
      <c r="K99" s="829"/>
      <c r="L99" s="829"/>
      <c r="M99" s="829"/>
      <c r="N99" s="829"/>
      <c r="O99" s="103"/>
      <c r="P99" s="20"/>
      <c r="Q99" s="184"/>
      <c r="R99" s="92"/>
      <c r="S99" s="16"/>
    </row>
    <row r="100" spans="1:19" s="11" customFormat="1" ht="12.75" customHeight="1" x14ac:dyDescent="0.2">
      <c r="A100" s="19"/>
      <c r="B100" s="1002" t="s">
        <v>80</v>
      </c>
      <c r="C100" s="1003"/>
      <c r="D100" s="739">
        <f>IF(ISERROR(MATCH(ZonaTerritoriale,ElencoZone,0))=TRUE,0,INDEX(MatriceParametri,MATCH(ZonaTerritoriale,ElencoZone,0)+1,10))</f>
        <v>14</v>
      </c>
      <c r="E100" s="94"/>
      <c r="F100" s="737">
        <f>PRODUCT(D98,D100)</f>
        <v>0</v>
      </c>
      <c r="G100" s="20"/>
      <c r="H100" s="739">
        <f>IF(ISERROR(MATCH(ZonaTerritoriale,ElencoZone,0))=TRUE,0,INDEX(MatriceParametri,MATCH(ZonaTerritoriale,ElencoZone,0)+1,10))</f>
        <v>14</v>
      </c>
      <c r="I100" s="94"/>
      <c r="J100" s="737">
        <f>PRODUCT(H98,H100)</f>
        <v>0</v>
      </c>
      <c r="K100" s="829"/>
      <c r="L100" s="829"/>
      <c r="M100" s="829"/>
      <c r="N100" s="829"/>
      <c r="O100" s="103"/>
      <c r="P100" s="20"/>
      <c r="Q100" s="20"/>
      <c r="R100" s="92"/>
      <c r="S100" s="16"/>
    </row>
    <row r="101" spans="1:19" s="11" customFormat="1" ht="12.75" customHeight="1" x14ac:dyDescent="0.2">
      <c r="A101" s="19"/>
      <c r="B101" s="1002" t="s">
        <v>81</v>
      </c>
      <c r="C101" s="1003"/>
      <c r="D101" s="739">
        <f>IF(ISERROR(MATCH(ZonaTerritoriale,ElencoZone,0))=TRUE,0,INDEX(MatriceParametri,MATCH(ZonaTerritoriale,ElencoZone,0)+2,10))</f>
        <v>3</v>
      </c>
      <c r="E101" s="94"/>
      <c r="F101" s="737">
        <f>PRODUCT(D98,D101)</f>
        <v>0</v>
      </c>
      <c r="G101" s="20"/>
      <c r="H101" s="739">
        <f>IF(ISERROR(MATCH(ZonaTerritoriale,ElencoZone,0))=TRUE,0,INDEX(MatriceParametri,MATCH(ZonaTerritoriale,ElencoZone,0)+2,10))</f>
        <v>3</v>
      </c>
      <c r="I101" s="94"/>
      <c r="J101" s="737">
        <f>PRODUCT(H98,H101)</f>
        <v>0</v>
      </c>
      <c r="K101" s="829"/>
      <c r="L101" s="829"/>
      <c r="M101" s="829"/>
      <c r="N101" s="829"/>
      <c r="O101" s="103"/>
      <c r="P101" s="20"/>
      <c r="Q101" s="20"/>
      <c r="R101" s="92"/>
      <c r="S101" s="16"/>
    </row>
    <row r="102" spans="1:19" s="192" customFormat="1" ht="20.100000000000001" customHeight="1" x14ac:dyDescent="0.2">
      <c r="A102" s="185"/>
      <c r="B102" s="1005" t="str">
        <f>Parametri_DestUsoPersonalizzazione4</f>
        <v xml:space="preserve">Industriale alberghiera </v>
      </c>
      <c r="C102" s="1006"/>
      <c r="D102" s="999">
        <f>Ou_UsoIniziale_IndAlb_ParVirt</f>
        <v>0</v>
      </c>
      <c r="E102" s="999"/>
      <c r="F102" s="999"/>
      <c r="G102" s="187"/>
      <c r="H102" s="999">
        <f>Ou_NuovaEd_IndAlb_ParVirt</f>
        <v>0</v>
      </c>
      <c r="I102" s="999"/>
      <c r="J102" s="999"/>
      <c r="K102" s="835"/>
      <c r="L102" s="835"/>
      <c r="M102" s="835"/>
      <c r="N102" s="835"/>
      <c r="O102" s="193"/>
      <c r="P102" s="189"/>
      <c r="Q102" s="189"/>
      <c r="R102" s="190"/>
      <c r="S102" s="191"/>
    </row>
    <row r="103" spans="1:19" s="11" customFormat="1" ht="12.75" customHeight="1" x14ac:dyDescent="0.2">
      <c r="A103" s="19"/>
      <c r="B103" s="1000" t="s">
        <v>79</v>
      </c>
      <c r="C103" s="1001"/>
      <c r="D103" s="739">
        <f>IF(ISERROR(MATCH(ZonaTerritoriale,ElencoZone,0))=TRUE,0,INDEX(MatriceParametri,MATCH(ZonaTerritoriale,ElencoZone,0),13))</f>
        <v>16</v>
      </c>
      <c r="E103" s="94"/>
      <c r="F103" s="737">
        <f>PRODUCT(D102,D103)</f>
        <v>0</v>
      </c>
      <c r="G103" s="107"/>
      <c r="H103" s="739">
        <f>IF(ISERROR(MATCH(ZonaTerritoriale,ElencoZone,0))=TRUE,0,INDEX(MatriceParametri,MATCH(ZonaTerritoriale,ElencoZone,0),13))</f>
        <v>16</v>
      </c>
      <c r="I103" s="94"/>
      <c r="J103" s="737">
        <f>PRODUCT(H102,H103)</f>
        <v>0</v>
      </c>
      <c r="K103" s="829"/>
      <c r="L103" s="829"/>
      <c r="M103" s="829"/>
      <c r="N103" s="829"/>
      <c r="O103" s="103"/>
      <c r="P103" s="20"/>
      <c r="Q103" s="20"/>
      <c r="R103" s="92"/>
      <c r="S103" s="16"/>
    </row>
    <row r="104" spans="1:19" s="11" customFormat="1" ht="12.75" customHeight="1" x14ac:dyDescent="0.2">
      <c r="A104" s="19"/>
      <c r="B104" s="1002" t="s">
        <v>80</v>
      </c>
      <c r="C104" s="1003"/>
      <c r="D104" s="739">
        <f>IF(ISERROR(MATCH(ZonaTerritoriale,ElencoZone,0))=TRUE,0,INDEX(MatriceParametri,MATCH(ZonaTerritoriale,ElencoZone,0)+1,13))</f>
        <v>16</v>
      </c>
      <c r="E104" s="94"/>
      <c r="F104" s="737">
        <f>PRODUCT(D102,D104)</f>
        <v>0</v>
      </c>
      <c r="G104" s="20"/>
      <c r="H104" s="739">
        <f>IF(ISERROR(MATCH(ZonaTerritoriale,ElencoZone,0))=TRUE,0,INDEX(MatriceParametri,MATCH(ZonaTerritoriale,ElencoZone,0)+1,13))</f>
        <v>16</v>
      </c>
      <c r="I104" s="94"/>
      <c r="J104" s="737">
        <f>PRODUCT(H102,H104)</f>
        <v>0</v>
      </c>
      <c r="K104" s="829"/>
      <c r="L104" s="829"/>
      <c r="M104" s="829"/>
      <c r="N104" s="829"/>
      <c r="O104" s="103"/>
      <c r="P104" s="20"/>
      <c r="Q104" s="102"/>
      <c r="R104" s="92"/>
      <c r="S104" s="16"/>
    </row>
    <row r="105" spans="1:19" s="11" customFormat="1" ht="12.75" customHeight="1" x14ac:dyDescent="0.2">
      <c r="A105" s="19"/>
      <c r="B105" s="1002" t="s">
        <v>81</v>
      </c>
      <c r="C105" s="1003"/>
      <c r="D105" s="739">
        <f>IF(ISERROR(MATCH(ZonaTerritoriale,ElencoZone,0))=TRUE,0,INDEX(MatriceParametri,MATCH(ZonaTerritoriale,ElencoZone,0)+2,13))</f>
        <v>0</v>
      </c>
      <c r="E105" s="94"/>
      <c r="F105" s="737">
        <f>PRODUCT(D102,D105)</f>
        <v>0</v>
      </c>
      <c r="G105" s="20"/>
      <c r="H105" s="739">
        <f>IF(ISERROR(MATCH(ZonaTerritoriale,ElencoZone,0))=TRUE,0,INDEX(MatriceParametri,MATCH(ZonaTerritoriale,ElencoZone,0)+2,13))</f>
        <v>0</v>
      </c>
      <c r="I105" s="94"/>
      <c r="J105" s="737">
        <f>PRODUCT(H102,H105)</f>
        <v>0</v>
      </c>
      <c r="K105" s="829"/>
      <c r="L105" s="829"/>
      <c r="M105" s="829"/>
      <c r="N105" s="829"/>
      <c r="O105" s="103"/>
      <c r="P105" s="20"/>
      <c r="Q105" s="20"/>
      <c r="R105" s="92"/>
      <c r="S105" s="16"/>
    </row>
    <row r="106" spans="1:19" s="192" customFormat="1" ht="20.100000000000001" customHeight="1" x14ac:dyDescent="0.2">
      <c r="A106" s="185"/>
      <c r="B106" s="1007" t="str">
        <f>Parametri_DestUsoPersonalizzazione5</f>
        <v>Parcheggi, silos (posto auto)</v>
      </c>
      <c r="C106" s="1008"/>
      <c r="D106" s="999">
        <f>Ou_UsoIniziale_ParSil_ParVirt</f>
        <v>0</v>
      </c>
      <c r="E106" s="999"/>
      <c r="F106" s="999"/>
      <c r="G106" s="189"/>
      <c r="H106" s="999">
        <f>Ou_NuovaEd_ParSil_ParVirt</f>
        <v>0</v>
      </c>
      <c r="I106" s="999"/>
      <c r="J106" s="999"/>
      <c r="K106" s="835"/>
      <c r="L106" s="835"/>
      <c r="M106" s="835"/>
      <c r="N106" s="835"/>
      <c r="O106" s="193"/>
      <c r="P106" s="189"/>
      <c r="Q106" s="189"/>
      <c r="R106" s="190"/>
      <c r="S106" s="191"/>
    </row>
    <row r="107" spans="1:19" s="7" customFormat="1" ht="12.75" customHeight="1" x14ac:dyDescent="0.2">
      <c r="A107" s="19"/>
      <c r="B107" s="1000" t="s">
        <v>79</v>
      </c>
      <c r="C107" s="1001"/>
      <c r="D107" s="733">
        <f>IF(ISERROR(MATCH(ZonaTerritoriale,ElencoZone,0))=TRUE,0,INDEX(MatriceParametri,MATCH(ZonaTerritoriale,ElencoZone,0),16))</f>
        <v>164</v>
      </c>
      <c r="E107" s="94"/>
      <c r="F107" s="737">
        <f>PRODUCT(D106,D107)</f>
        <v>0</v>
      </c>
      <c r="G107" s="107"/>
      <c r="H107" s="733">
        <f>IF(ISERROR(MATCH(ZonaTerritoriale,ElencoZone,0))=TRUE,0,INDEX(MatriceParametri,MATCH(ZonaTerritoriale,ElencoZone,0),16))</f>
        <v>164</v>
      </c>
      <c r="I107" s="94"/>
      <c r="J107" s="737">
        <f>PRODUCT(H106,H107)</f>
        <v>0</v>
      </c>
      <c r="K107" s="829"/>
      <c r="L107" s="829"/>
      <c r="M107" s="829"/>
      <c r="N107" s="829"/>
      <c r="O107" s="103"/>
      <c r="P107" s="20"/>
      <c r="Q107" s="102"/>
      <c r="R107" s="92"/>
      <c r="S107" s="1"/>
    </row>
    <row r="108" spans="1:19" s="7" customFormat="1" ht="12.75" customHeight="1" x14ac:dyDescent="0.2">
      <c r="A108" s="19"/>
      <c r="B108" s="1002" t="s">
        <v>80</v>
      </c>
      <c r="C108" s="1003"/>
      <c r="D108" s="734">
        <f>IF(ISERROR(MATCH(ZonaTerritoriale,ElencoZone,0))=TRUE,0,INDEX(MatriceParametri,MATCH(ZonaTerritoriale,ElencoZone,0)+1,16))</f>
        <v>72</v>
      </c>
      <c r="E108" s="94"/>
      <c r="F108" s="737">
        <f>PRODUCT(D106,D108)</f>
        <v>0</v>
      </c>
      <c r="G108" s="20"/>
      <c r="H108" s="734">
        <f>IF(ISERROR(MATCH(ZonaTerritoriale,ElencoZone,0))=TRUE,0,INDEX(MatriceParametri,MATCH(ZonaTerritoriale,ElencoZone,0)+1,16))</f>
        <v>72</v>
      </c>
      <c r="I108" s="94"/>
      <c r="J108" s="737">
        <f>PRODUCT(H106,H108)</f>
        <v>0</v>
      </c>
      <c r="K108" s="829"/>
      <c r="L108" s="829"/>
      <c r="M108" s="829"/>
      <c r="N108" s="829"/>
      <c r="O108" s="103"/>
      <c r="P108" s="20"/>
      <c r="Q108" s="102"/>
      <c r="R108" s="92"/>
      <c r="S108" s="1"/>
    </row>
    <row r="109" spans="1:19" s="11" customFormat="1" ht="12.75" customHeight="1" x14ac:dyDescent="0.2">
      <c r="A109" s="19"/>
      <c r="B109" s="1002" t="s">
        <v>81</v>
      </c>
      <c r="C109" s="1003"/>
      <c r="D109" s="739">
        <f>IF(ISERROR(MATCH(ZonaTerritoriale,ElencoZone,0))=TRUE,0,INDEX(MatriceParametri,MATCH(ZonaTerritoriale,ElencoZone,0)+2,16))</f>
        <v>0</v>
      </c>
      <c r="E109" s="94"/>
      <c r="F109" s="737">
        <f>PRODUCT(D106,D109)</f>
        <v>0</v>
      </c>
      <c r="G109" s="20"/>
      <c r="H109" s="739">
        <f>IF(ISERROR(MATCH(ZonaTerritoriale,ElencoZone,0))=TRUE,0,INDEX(MatriceParametri,MATCH(ZonaTerritoriale,ElencoZone,0)+2,16))</f>
        <v>0</v>
      </c>
      <c r="I109" s="94"/>
      <c r="J109" s="737">
        <f>PRODUCT(H106,H109)</f>
        <v>0</v>
      </c>
      <c r="K109" s="829"/>
      <c r="L109" s="829"/>
      <c r="M109" s="829"/>
      <c r="N109" s="829"/>
      <c r="O109" s="103"/>
      <c r="P109" s="20"/>
      <c r="Q109" s="20"/>
      <c r="R109" s="92"/>
      <c r="S109" s="16"/>
    </row>
    <row r="110" spans="1:19" s="192" customFormat="1" ht="20.100000000000001" customHeight="1" x14ac:dyDescent="0.2">
      <c r="A110" s="185"/>
      <c r="B110" s="1007" t="str">
        <f>Parametri_DestUsoPersonalizzazione6</f>
        <v>Attrezzature culturali e sanitarie</v>
      </c>
      <c r="C110" s="1008"/>
      <c r="D110" s="999">
        <f>Ou_UsoIniziale_CultSan_ParVirt</f>
        <v>0</v>
      </c>
      <c r="E110" s="999"/>
      <c r="F110" s="999"/>
      <c r="G110" s="189"/>
      <c r="H110" s="999">
        <f>Ou_NuovaEd_CultSan_ParVirt</f>
        <v>0</v>
      </c>
      <c r="I110" s="999"/>
      <c r="J110" s="999"/>
      <c r="K110" s="835"/>
      <c r="L110" s="835"/>
      <c r="M110" s="835"/>
      <c r="N110" s="835"/>
      <c r="O110" s="193"/>
      <c r="P110" s="189"/>
      <c r="Q110" s="189"/>
      <c r="R110" s="190"/>
      <c r="S110" s="191"/>
    </row>
    <row r="111" spans="1:19" s="7" customFormat="1" ht="12.75" customHeight="1" x14ac:dyDescent="0.2">
      <c r="A111" s="19"/>
      <c r="B111" s="1000" t="s">
        <v>79</v>
      </c>
      <c r="C111" s="1001"/>
      <c r="D111" s="733">
        <f>IF(ISERROR(MATCH(ZonaTerritoriale,ElencoZone,0))=TRUE,0,INDEX(MatriceParametri,MATCH(ZonaTerritoriale,ElencoZone,0),19))</f>
        <v>8</v>
      </c>
      <c r="E111" s="94"/>
      <c r="F111" s="737">
        <f>PRODUCT(D110,D111)</f>
        <v>0</v>
      </c>
      <c r="G111" s="107"/>
      <c r="H111" s="733">
        <f>IF(ISERROR(MATCH(ZonaTerritoriale,ElencoZone,0))=TRUE,0,INDEX(MatriceParametri,MATCH(ZonaTerritoriale,ElencoZone,0),19))</f>
        <v>8</v>
      </c>
      <c r="I111" s="94"/>
      <c r="J111" s="737">
        <f>PRODUCT(H110,H111)</f>
        <v>0</v>
      </c>
      <c r="K111" s="829"/>
      <c r="L111" s="829"/>
      <c r="M111" s="829"/>
      <c r="N111" s="829"/>
      <c r="O111" s="103"/>
      <c r="P111" s="20"/>
      <c r="Q111" s="102"/>
      <c r="R111" s="92"/>
      <c r="S111" s="1"/>
    </row>
    <row r="112" spans="1:19" s="7" customFormat="1" ht="12.75" customHeight="1" x14ac:dyDescent="0.2">
      <c r="A112" s="19"/>
      <c r="B112" s="1002" t="s">
        <v>80</v>
      </c>
      <c r="C112" s="1003"/>
      <c r="D112" s="734">
        <f>IF(ISERROR(MATCH(ZonaTerritoriale,ElencoZone,0))=TRUE,0,INDEX(MatriceParametri,MATCH(ZonaTerritoriale,ElencoZone,0)+1,19))</f>
        <v>5</v>
      </c>
      <c r="E112" s="94"/>
      <c r="F112" s="737">
        <f>PRODUCT(D110,D112)</f>
        <v>0</v>
      </c>
      <c r="G112" s="20"/>
      <c r="H112" s="734">
        <f>IF(ISERROR(MATCH(ZonaTerritoriale,ElencoZone,0))=TRUE,0,INDEX(MatriceParametri,MATCH(ZonaTerritoriale,ElencoZone,0)+1,19))</f>
        <v>5</v>
      </c>
      <c r="I112" s="94"/>
      <c r="J112" s="737">
        <f>PRODUCT(H110,H112)</f>
        <v>0</v>
      </c>
      <c r="K112" s="829"/>
      <c r="L112" s="829"/>
      <c r="M112" s="829"/>
      <c r="N112" s="829"/>
      <c r="O112" s="103"/>
      <c r="P112" s="20"/>
      <c r="Q112" s="102"/>
      <c r="R112" s="92"/>
      <c r="S112" s="1"/>
    </row>
    <row r="113" spans="1:19" s="11" customFormat="1" ht="12.75" customHeight="1" x14ac:dyDescent="0.2">
      <c r="A113" s="19"/>
      <c r="B113" s="1002" t="s">
        <v>81</v>
      </c>
      <c r="C113" s="1003"/>
      <c r="D113" s="739">
        <f>IF(ISERROR(MATCH(ZonaTerritoriale,ElencoZone,0))=TRUE,0,INDEX(MatriceParametri,MATCH(ZonaTerritoriale,ElencoZone,0)+2,19))</f>
        <v>0</v>
      </c>
      <c r="E113" s="94"/>
      <c r="F113" s="737">
        <f>PRODUCT(D110,D113)</f>
        <v>0</v>
      </c>
      <c r="G113" s="20"/>
      <c r="H113" s="739">
        <f>IF(ISERROR(MATCH(ZonaTerritoriale,ElencoZone,0))=TRUE,0,INDEX(MatriceParametri,MATCH(ZonaTerritoriale,ElencoZone,0)+2,19))</f>
        <v>0</v>
      </c>
      <c r="I113" s="94"/>
      <c r="J113" s="737">
        <f>PRODUCT(H110,H113)</f>
        <v>0</v>
      </c>
      <c r="K113" s="829"/>
      <c r="L113" s="829"/>
      <c r="M113" s="829"/>
      <c r="N113" s="829"/>
      <c r="O113" s="103"/>
      <c r="P113" s="20"/>
      <c r="Q113" s="20"/>
      <c r="R113" s="92"/>
      <c r="S113" s="16"/>
    </row>
    <row r="114" spans="1:19" s="192" customFormat="1" ht="20.100000000000001" customHeight="1" x14ac:dyDescent="0.2">
      <c r="A114" s="185"/>
      <c r="B114" s="1007" t="str">
        <f>Parametri_DestUsoPersonalizzazione7</f>
        <v>Attrezzature sportive</v>
      </c>
      <c r="C114" s="1008"/>
      <c r="D114" s="999">
        <f>Ou_UsoIniziale_AttSpor_ParVirt</f>
        <v>0</v>
      </c>
      <c r="E114" s="999"/>
      <c r="F114" s="999"/>
      <c r="G114" s="189"/>
      <c r="H114" s="999">
        <f>Ou_NuovaEd_AttSpor_ParVirt</f>
        <v>0</v>
      </c>
      <c r="I114" s="999"/>
      <c r="J114" s="999"/>
      <c r="K114" s="835"/>
      <c r="L114" s="835"/>
      <c r="M114" s="835"/>
      <c r="N114" s="835"/>
      <c r="O114" s="193"/>
      <c r="P114" s="189"/>
      <c r="Q114" s="189"/>
      <c r="R114" s="190"/>
      <c r="S114" s="191"/>
    </row>
    <row r="115" spans="1:19" s="7" customFormat="1" ht="12.75" customHeight="1" x14ac:dyDescent="0.2">
      <c r="A115" s="19"/>
      <c r="B115" s="1000" t="s">
        <v>79</v>
      </c>
      <c r="C115" s="1001"/>
      <c r="D115" s="733">
        <f>IF(ISERROR(MATCH(ZonaTerritoriale,ElencoZone,0))=TRUE,0,INDEX(MatriceParametri,MATCH(ZonaTerritoriale,ElencoZone,0),22))</f>
        <v>4</v>
      </c>
      <c r="E115" s="94"/>
      <c r="F115" s="737">
        <f>PRODUCT(D114,D115)</f>
        <v>0</v>
      </c>
      <c r="G115" s="107"/>
      <c r="H115" s="733">
        <f>IF(ISERROR(MATCH(ZonaTerritoriale,ElencoZone,0))=TRUE,0,INDEX(MatriceParametri,MATCH(ZonaTerritoriale,ElencoZone,0),22))</f>
        <v>4</v>
      </c>
      <c r="I115" s="94"/>
      <c r="J115" s="737">
        <f>PRODUCT(H114,H115)</f>
        <v>0</v>
      </c>
      <c r="K115" s="829"/>
      <c r="L115" s="829"/>
      <c r="M115" s="829"/>
      <c r="N115" s="829"/>
      <c r="O115" s="103"/>
      <c r="P115" s="20"/>
      <c r="Q115" s="102"/>
      <c r="R115" s="92"/>
      <c r="S115" s="1"/>
    </row>
    <row r="116" spans="1:19" s="7" customFormat="1" ht="12.75" customHeight="1" x14ac:dyDescent="0.2">
      <c r="A116" s="19"/>
      <c r="B116" s="1002" t="s">
        <v>80</v>
      </c>
      <c r="C116" s="1003"/>
      <c r="D116" s="734">
        <f>IF(ISERROR(MATCH(ZonaTerritoriale,ElencoZone,0))=TRUE,0,INDEX(MatriceParametri,MATCH(ZonaTerritoriale,ElencoZone,0)+1,22))</f>
        <v>2</v>
      </c>
      <c r="E116" s="94"/>
      <c r="F116" s="737">
        <f>PRODUCT(D114,D116)</f>
        <v>0</v>
      </c>
      <c r="G116" s="20"/>
      <c r="H116" s="734">
        <f>IF(ISERROR(MATCH(ZonaTerritoriale,ElencoZone,0))=TRUE,0,INDEX(MatriceParametri,MATCH(ZonaTerritoriale,ElencoZone,0)+1,22))</f>
        <v>2</v>
      </c>
      <c r="I116" s="94"/>
      <c r="J116" s="737">
        <f>PRODUCT(H114,H116)</f>
        <v>0</v>
      </c>
      <c r="K116" s="829"/>
      <c r="L116" s="829"/>
      <c r="M116" s="829"/>
      <c r="N116" s="829"/>
      <c r="O116" s="103"/>
      <c r="P116" s="20"/>
      <c r="Q116" s="102"/>
      <c r="R116" s="92"/>
      <c r="S116" s="1"/>
    </row>
    <row r="117" spans="1:19" s="11" customFormat="1" ht="12.75" customHeight="1" x14ac:dyDescent="0.2">
      <c r="A117" s="19"/>
      <c r="B117" s="1002" t="s">
        <v>81</v>
      </c>
      <c r="C117" s="1003"/>
      <c r="D117" s="739">
        <f>IF(ISERROR(MATCH(ZonaTerritoriale,ElencoZone,0))=TRUE,0,INDEX(MatriceParametri,MATCH(ZonaTerritoriale,ElencoZone,0)+2,22))</f>
        <v>0</v>
      </c>
      <c r="E117" s="94"/>
      <c r="F117" s="737">
        <f>PRODUCT(D114,D117)</f>
        <v>0</v>
      </c>
      <c r="G117" s="20"/>
      <c r="H117" s="739">
        <f>IF(ISERROR(MATCH(ZonaTerritoriale,ElencoZone,0))=TRUE,0,INDEX(MatriceParametri,MATCH(ZonaTerritoriale,ElencoZone,0)+2,22))</f>
        <v>0</v>
      </c>
      <c r="I117" s="94"/>
      <c r="J117" s="737">
        <f>PRODUCT(H114,H117)</f>
        <v>0</v>
      </c>
      <c r="K117" s="829"/>
      <c r="L117" s="829"/>
      <c r="M117" s="829"/>
      <c r="N117" s="829"/>
      <c r="O117" s="103"/>
      <c r="P117" s="20"/>
      <c r="Q117" s="20"/>
      <c r="R117" s="92"/>
      <c r="S117" s="16"/>
    </row>
    <row r="118" spans="1:19" s="192" customFormat="1" ht="20.100000000000001" customHeight="1" x14ac:dyDescent="0.2">
      <c r="A118" s="185"/>
      <c r="B118" s="1007" t="str">
        <f>Parametri_DestUsoPersonalizzazione8</f>
        <v>Attrezzature spettacolo</v>
      </c>
      <c r="C118" s="1008"/>
      <c r="D118" s="999">
        <f>Ou_UsoIniziale_AttSpet_ParVirt</f>
        <v>0</v>
      </c>
      <c r="E118" s="999"/>
      <c r="F118" s="999"/>
      <c r="G118" s="189"/>
      <c r="H118" s="999">
        <f>Ou_NuovaEd_AttSpet_ParVirt</f>
        <v>0</v>
      </c>
      <c r="I118" s="999"/>
      <c r="J118" s="999"/>
      <c r="K118" s="835"/>
      <c r="L118" s="835"/>
      <c r="M118" s="835"/>
      <c r="N118" s="835"/>
      <c r="O118" s="193"/>
      <c r="P118" s="189"/>
      <c r="Q118" s="189"/>
      <c r="R118" s="190"/>
      <c r="S118" s="191"/>
    </row>
    <row r="119" spans="1:19" s="7" customFormat="1" ht="12.75" customHeight="1" x14ac:dyDescent="0.2">
      <c r="A119" s="19"/>
      <c r="B119" s="1000" t="s">
        <v>79</v>
      </c>
      <c r="C119" s="1001"/>
      <c r="D119" s="733">
        <f>IF(ISERROR(MATCH(ZonaTerritoriale,ElencoZone,0))=TRUE,0,INDEX(MatriceParametri,MATCH(ZonaTerritoriale,ElencoZone,0),25))</f>
        <v>13</v>
      </c>
      <c r="E119" s="94"/>
      <c r="F119" s="737">
        <f>PRODUCT(D118,D119)</f>
        <v>0</v>
      </c>
      <c r="G119" s="107"/>
      <c r="H119" s="733">
        <f>IF(ISERROR(MATCH(ZonaTerritoriale,ElencoZone,0))=TRUE,0,INDEX(MatriceParametri,MATCH(ZonaTerritoriale,ElencoZone,0),25))</f>
        <v>13</v>
      </c>
      <c r="I119" s="94"/>
      <c r="J119" s="737">
        <f>PRODUCT(H118,H119)</f>
        <v>0</v>
      </c>
      <c r="K119" s="829"/>
      <c r="L119" s="829"/>
      <c r="M119" s="829"/>
      <c r="N119" s="829"/>
      <c r="O119" s="103"/>
      <c r="P119" s="20"/>
      <c r="Q119" s="102"/>
      <c r="R119" s="92"/>
      <c r="S119" s="1"/>
    </row>
    <row r="120" spans="1:19" s="7" customFormat="1" ht="12.75" customHeight="1" x14ac:dyDescent="0.2">
      <c r="A120" s="19"/>
      <c r="B120" s="1002" t="s">
        <v>80</v>
      </c>
      <c r="C120" s="1003"/>
      <c r="D120" s="734">
        <f>IF(ISERROR(MATCH(ZonaTerritoriale,ElencoZone,0))=TRUE,0,INDEX(MatriceParametri,MATCH(ZonaTerritoriale,ElencoZone,0)+1,25))</f>
        <v>6</v>
      </c>
      <c r="E120" s="94"/>
      <c r="F120" s="737">
        <f>PRODUCT(D118,D120)</f>
        <v>0</v>
      </c>
      <c r="G120" s="20"/>
      <c r="H120" s="734">
        <f>IF(ISERROR(MATCH(ZonaTerritoriale,ElencoZone,0))=TRUE,0,INDEX(MatriceParametri,MATCH(ZonaTerritoriale,ElencoZone,0)+1,25))</f>
        <v>6</v>
      </c>
      <c r="I120" s="94"/>
      <c r="J120" s="737">
        <f>PRODUCT(H118,H120)</f>
        <v>0</v>
      </c>
      <c r="K120" s="829"/>
      <c r="L120" s="829"/>
      <c r="M120" s="829"/>
      <c r="N120" s="829"/>
      <c r="O120" s="103"/>
      <c r="P120" s="20"/>
      <c r="Q120" s="102"/>
      <c r="R120" s="92"/>
      <c r="S120" s="1"/>
    </row>
    <row r="121" spans="1:19" s="11" customFormat="1" ht="12.75" customHeight="1" x14ac:dyDescent="0.2">
      <c r="A121" s="19"/>
      <c r="B121" s="1002" t="s">
        <v>81</v>
      </c>
      <c r="C121" s="1003"/>
      <c r="D121" s="739">
        <f>IF(ISERROR(MATCH(ZonaTerritoriale,ElencoZone,0))=TRUE,0,INDEX(MatriceParametri,MATCH(ZonaTerritoriale,ElencoZone,0)+2,25))</f>
        <v>0</v>
      </c>
      <c r="E121" s="94"/>
      <c r="F121" s="737">
        <f>PRODUCT(D118,D121)</f>
        <v>0</v>
      </c>
      <c r="G121" s="20"/>
      <c r="H121" s="739">
        <f>IF(ISERROR(MATCH(ZonaTerritoriale,ElencoZone,0))=TRUE,0,INDEX(MatriceParametri,MATCH(ZonaTerritoriale,ElencoZone,0)+2,25))</f>
        <v>0</v>
      </c>
      <c r="I121" s="94"/>
      <c r="J121" s="737">
        <f>PRODUCT(H118,H121)</f>
        <v>0</v>
      </c>
      <c r="K121" s="829"/>
      <c r="L121" s="829"/>
      <c r="M121" s="829"/>
      <c r="N121" s="829"/>
      <c r="O121" s="103"/>
      <c r="P121" s="20"/>
      <c r="Q121" s="20"/>
      <c r="R121" s="92"/>
      <c r="S121" s="16"/>
    </row>
    <row r="122" spans="1:19" s="192" customFormat="1" ht="20.100000000000001" customHeight="1" x14ac:dyDescent="0.2">
      <c r="A122" s="185"/>
      <c r="B122" s="1007" t="str">
        <f>Parametri_DestUsoPersonalizzazione9</f>
        <v>Destinazione ulteriore 1</v>
      </c>
      <c r="C122" s="1008"/>
      <c r="D122" s="999">
        <f>Ou_UsoIniziale_Person1_ParVirt</f>
        <v>0</v>
      </c>
      <c r="E122" s="999"/>
      <c r="F122" s="999"/>
      <c r="G122" s="189"/>
      <c r="H122" s="999">
        <f>Ou_NuovaEd_Person1_ParVirt</f>
        <v>0</v>
      </c>
      <c r="I122" s="999"/>
      <c r="J122" s="999"/>
      <c r="K122" s="835"/>
      <c r="L122" s="835"/>
      <c r="M122" s="835"/>
      <c r="N122" s="835"/>
      <c r="O122" s="193"/>
      <c r="P122" s="189"/>
      <c r="Q122" s="189"/>
      <c r="R122" s="190"/>
      <c r="S122" s="191"/>
    </row>
    <row r="123" spans="1:19" s="7" customFormat="1" ht="12.75" customHeight="1" x14ac:dyDescent="0.2">
      <c r="A123" s="19"/>
      <c r="B123" s="1000" t="s">
        <v>79</v>
      </c>
      <c r="C123" s="1001"/>
      <c r="D123" s="733">
        <f>IF(ISERROR(MATCH(ZonaTerritoriale,ElencoZone,0))=TRUE,0,INDEX(MatriceParametri,MATCH(ZonaTerritoriale,ElencoZone,0),28))</f>
        <v>0</v>
      </c>
      <c r="E123" s="94"/>
      <c r="F123" s="737">
        <f>PRODUCT(D122,D123)</f>
        <v>0</v>
      </c>
      <c r="G123" s="107"/>
      <c r="H123" s="733">
        <f>IF(ISERROR(MATCH(ZonaTerritoriale,ElencoZone,0))=TRUE,0,INDEX(MatriceParametri,MATCH(ZonaTerritoriale,ElencoZone,0),28))</f>
        <v>0</v>
      </c>
      <c r="I123" s="94"/>
      <c r="J123" s="737">
        <f>PRODUCT(H122,H123)</f>
        <v>0</v>
      </c>
      <c r="K123" s="829"/>
      <c r="L123" s="829"/>
      <c r="M123" s="829"/>
      <c r="N123" s="829"/>
      <c r="O123" s="103"/>
      <c r="P123" s="20"/>
      <c r="Q123" s="102"/>
      <c r="R123" s="92"/>
      <c r="S123" s="1"/>
    </row>
    <row r="124" spans="1:19" s="7" customFormat="1" ht="12.75" customHeight="1" x14ac:dyDescent="0.2">
      <c r="A124" s="19"/>
      <c r="B124" s="1002" t="s">
        <v>80</v>
      </c>
      <c r="C124" s="1003"/>
      <c r="D124" s="734">
        <f>IF(ISERROR(MATCH(ZonaTerritoriale,ElencoZone,0))=TRUE,0,INDEX(MatriceParametri,MATCH(ZonaTerritoriale,ElencoZone,0)+1,28))</f>
        <v>0</v>
      </c>
      <c r="E124" s="94"/>
      <c r="F124" s="737">
        <f>PRODUCT(D122,D124)</f>
        <v>0</v>
      </c>
      <c r="G124" s="20"/>
      <c r="H124" s="734">
        <f>IF(ISERROR(MATCH(ZonaTerritoriale,ElencoZone,0))=TRUE,0,INDEX(MatriceParametri,MATCH(ZonaTerritoriale,ElencoZone,0)+1,28))</f>
        <v>0</v>
      </c>
      <c r="I124" s="94"/>
      <c r="J124" s="737">
        <f>PRODUCT(H122,H124)</f>
        <v>0</v>
      </c>
      <c r="K124" s="829"/>
      <c r="L124" s="829"/>
      <c r="M124" s="829"/>
      <c r="N124" s="829"/>
      <c r="O124" s="103"/>
      <c r="P124" s="20"/>
      <c r="Q124" s="102"/>
      <c r="R124" s="92"/>
      <c r="S124" s="1"/>
    </row>
    <row r="125" spans="1:19" s="11" customFormat="1" ht="12.75" customHeight="1" x14ac:dyDescent="0.2">
      <c r="A125" s="19"/>
      <c r="B125" s="1002" t="s">
        <v>81</v>
      </c>
      <c r="C125" s="1003"/>
      <c r="D125" s="739">
        <f>IF(ISERROR(MATCH(ZonaTerritoriale,ElencoZone,0))=TRUE,0,INDEX(MatriceParametri,MATCH(ZonaTerritoriale,ElencoZone,0)+2,28))</f>
        <v>0</v>
      </c>
      <c r="E125" s="94"/>
      <c r="F125" s="737">
        <f>PRODUCT(D122,D125)</f>
        <v>0</v>
      </c>
      <c r="G125" s="20"/>
      <c r="H125" s="739">
        <f>IF(ISERROR(MATCH(ZonaTerritoriale,ElencoZone,0))=TRUE,0,INDEX(MatriceParametri,MATCH(ZonaTerritoriale,ElencoZone,0)+2,28))</f>
        <v>0</v>
      </c>
      <c r="I125" s="94"/>
      <c r="J125" s="737">
        <f>PRODUCT(H122,H125)</f>
        <v>0</v>
      </c>
      <c r="K125" s="829"/>
      <c r="L125" s="829"/>
      <c r="M125" s="829"/>
      <c r="N125" s="829"/>
      <c r="O125" s="103"/>
      <c r="P125" s="20"/>
      <c r="Q125" s="20"/>
      <c r="R125" s="92"/>
      <c r="S125" s="16"/>
    </row>
    <row r="126" spans="1:19" s="192" customFormat="1" ht="20.100000000000001" customHeight="1" x14ac:dyDescent="0.2">
      <c r="A126" s="185"/>
      <c r="B126" s="1007" t="str">
        <f>Parametri_DestUsoPersonalizzazione10</f>
        <v>Destinazione ulteriore 2</v>
      </c>
      <c r="C126" s="1008"/>
      <c r="D126" s="999">
        <f>Ou_UsoIniziale_Person2_ParVirt</f>
        <v>0</v>
      </c>
      <c r="E126" s="999"/>
      <c r="F126" s="999"/>
      <c r="G126" s="189"/>
      <c r="H126" s="999">
        <f>Ou_NuovaEd_Person2_ParVirt</f>
        <v>0</v>
      </c>
      <c r="I126" s="999"/>
      <c r="J126" s="999"/>
      <c r="K126" s="835"/>
      <c r="L126" s="835"/>
      <c r="M126" s="835"/>
      <c r="N126" s="835"/>
      <c r="O126" s="193"/>
      <c r="P126" s="189"/>
      <c r="Q126" s="189"/>
      <c r="R126" s="190"/>
      <c r="S126" s="191"/>
    </row>
    <row r="127" spans="1:19" s="7" customFormat="1" ht="12.75" customHeight="1" x14ac:dyDescent="0.2">
      <c r="A127" s="19"/>
      <c r="B127" s="1000" t="s">
        <v>79</v>
      </c>
      <c r="C127" s="1001"/>
      <c r="D127" s="733">
        <f>IF(ISERROR(MATCH(ZonaTerritoriale,ElencoZone,0))=TRUE,0,INDEX(MatriceParametri,MATCH(ZonaTerritoriale,ElencoZone,0),31))</f>
        <v>0</v>
      </c>
      <c r="E127" s="94"/>
      <c r="F127" s="737">
        <f>PRODUCT(D126,D127)</f>
        <v>0</v>
      </c>
      <c r="G127" s="107"/>
      <c r="H127" s="733">
        <f>IF(ISERROR(MATCH(ZonaTerritoriale,ElencoZone,0))=TRUE,0,INDEX(MatriceParametri,MATCH(ZonaTerritoriale,ElencoZone,0),31))</f>
        <v>0</v>
      </c>
      <c r="I127" s="94"/>
      <c r="J127" s="737">
        <f>PRODUCT(H126,H127)</f>
        <v>0</v>
      </c>
      <c r="K127" s="829"/>
      <c r="L127" s="829"/>
      <c r="M127" s="829"/>
      <c r="N127" s="829"/>
      <c r="O127" s="103"/>
      <c r="P127" s="20"/>
      <c r="Q127" s="102"/>
      <c r="R127" s="92"/>
      <c r="S127" s="1"/>
    </row>
    <row r="128" spans="1:19" s="7" customFormat="1" ht="12.75" customHeight="1" x14ac:dyDescent="0.2">
      <c r="A128" s="19"/>
      <c r="B128" s="1002" t="s">
        <v>80</v>
      </c>
      <c r="C128" s="1003"/>
      <c r="D128" s="734">
        <f>IF(ISERROR(MATCH(ZonaTerritoriale,ElencoZone,0))=TRUE,0,INDEX(MatriceParametri,MATCH(ZonaTerritoriale,ElencoZone,0)+1,31))</f>
        <v>0</v>
      </c>
      <c r="E128" s="94"/>
      <c r="F128" s="737">
        <f>PRODUCT(D126,D128)</f>
        <v>0</v>
      </c>
      <c r="G128" s="20"/>
      <c r="H128" s="734">
        <f>IF(ISERROR(MATCH(ZonaTerritoriale,ElencoZone,0))=TRUE,0,INDEX(MatriceParametri,MATCH(ZonaTerritoriale,ElencoZone,0)+1,31))</f>
        <v>0</v>
      </c>
      <c r="I128" s="94"/>
      <c r="J128" s="737">
        <f>PRODUCT(H126,H128)</f>
        <v>0</v>
      </c>
      <c r="K128" s="829"/>
      <c r="L128" s="829"/>
      <c r="M128" s="829"/>
      <c r="N128" s="829"/>
      <c r="O128" s="103"/>
      <c r="P128" s="20"/>
      <c r="Q128" s="102"/>
      <c r="R128" s="92"/>
      <c r="S128" s="1"/>
    </row>
    <row r="129" spans="1:19" s="11" customFormat="1" ht="12.75" customHeight="1" x14ac:dyDescent="0.2">
      <c r="A129" s="19"/>
      <c r="B129" s="1002" t="s">
        <v>81</v>
      </c>
      <c r="C129" s="1003"/>
      <c r="D129" s="739">
        <f>IF(ISERROR(MATCH(ZonaTerritoriale,ElencoZone,0))=TRUE,0,INDEX(MatriceParametri,MATCH(ZonaTerritoriale,ElencoZone,0)+2,31))</f>
        <v>0</v>
      </c>
      <c r="E129" s="94"/>
      <c r="F129" s="737">
        <f>PRODUCT(D126,D129)</f>
        <v>0</v>
      </c>
      <c r="G129" s="20"/>
      <c r="H129" s="739">
        <f>IF(ISERROR(MATCH(ZonaTerritoriale,ElencoZone,0))=TRUE,0,INDEX(MatriceParametri,MATCH(ZonaTerritoriale,ElencoZone,0)+2,31))</f>
        <v>0</v>
      </c>
      <c r="I129" s="94"/>
      <c r="J129" s="737">
        <f>PRODUCT(H126,H129)</f>
        <v>0</v>
      </c>
      <c r="K129" s="829"/>
      <c r="L129" s="829"/>
      <c r="M129" s="829"/>
      <c r="N129" s="829"/>
      <c r="O129" s="103"/>
      <c r="P129" s="20"/>
      <c r="Q129" s="20"/>
      <c r="R129" s="92"/>
      <c r="S129" s="16"/>
    </row>
    <row r="130" spans="1:19" s="192" customFormat="1" ht="20.100000000000001" customHeight="1" x14ac:dyDescent="0.2">
      <c r="A130" s="185"/>
      <c r="B130" s="1007" t="str">
        <f>Parametri_DestUsoPersonalizzazione11</f>
        <v>Destinazione ulteriore 3</v>
      </c>
      <c r="C130" s="1008"/>
      <c r="D130" s="999">
        <f>Ou_UsoIniziale_Person3_ParVirt</f>
        <v>0</v>
      </c>
      <c r="E130" s="999"/>
      <c r="F130" s="999"/>
      <c r="G130" s="189"/>
      <c r="H130" s="999">
        <f>Ou_NuovaEd_Person3_ParVirt</f>
        <v>0</v>
      </c>
      <c r="I130" s="999"/>
      <c r="J130" s="999"/>
      <c r="K130" s="835"/>
      <c r="L130" s="835"/>
      <c r="M130" s="835"/>
      <c r="N130" s="835"/>
      <c r="O130" s="193"/>
      <c r="P130" s="189"/>
      <c r="Q130" s="189"/>
      <c r="R130" s="190"/>
      <c r="S130" s="191"/>
    </row>
    <row r="131" spans="1:19" s="7" customFormat="1" ht="12.75" customHeight="1" x14ac:dyDescent="0.2">
      <c r="A131" s="19"/>
      <c r="B131" s="1000" t="s">
        <v>79</v>
      </c>
      <c r="C131" s="1001"/>
      <c r="D131" s="733">
        <f>IF(ISERROR(MATCH(ZonaTerritoriale,ElencoZone,0))=TRUE,0,INDEX(MatriceParametri,MATCH(ZonaTerritoriale,ElencoZone,0),34))</f>
        <v>0</v>
      </c>
      <c r="E131" s="94"/>
      <c r="F131" s="737">
        <f>PRODUCT(D130,D131)</f>
        <v>0</v>
      </c>
      <c r="G131" s="107"/>
      <c r="H131" s="733">
        <f>IF(ISERROR(MATCH(ZonaTerritoriale,ElencoZone,0))=TRUE,0,INDEX(MatriceParametri,MATCH(ZonaTerritoriale,ElencoZone,0),34))</f>
        <v>0</v>
      </c>
      <c r="I131" s="94"/>
      <c r="J131" s="737">
        <f>PRODUCT(H130,H131)</f>
        <v>0</v>
      </c>
      <c r="K131" s="829"/>
      <c r="L131" s="829"/>
      <c r="M131" s="829"/>
      <c r="N131" s="829"/>
      <c r="O131" s="103"/>
      <c r="P131" s="20"/>
      <c r="Q131" s="102"/>
      <c r="R131" s="92"/>
      <c r="S131" s="1"/>
    </row>
    <row r="132" spans="1:19" s="7" customFormat="1" ht="12.75" customHeight="1" x14ac:dyDescent="0.2">
      <c r="A132" s="19"/>
      <c r="B132" s="1002" t="s">
        <v>80</v>
      </c>
      <c r="C132" s="1003"/>
      <c r="D132" s="734">
        <f>IF(ISERROR(MATCH(ZonaTerritoriale,ElencoZone,0))=TRUE,0,INDEX(MatriceParametri,MATCH(ZonaTerritoriale,ElencoZone,0)+1,34))</f>
        <v>0</v>
      </c>
      <c r="E132" s="94"/>
      <c r="F132" s="737">
        <f>PRODUCT(D130,D132)</f>
        <v>0</v>
      </c>
      <c r="G132" s="20"/>
      <c r="H132" s="734">
        <f>IF(ISERROR(MATCH(ZonaTerritoriale,ElencoZone,0))=TRUE,0,INDEX(MatriceParametri,MATCH(ZonaTerritoriale,ElencoZone,0)+1,34))</f>
        <v>0</v>
      </c>
      <c r="I132" s="94"/>
      <c r="J132" s="737">
        <f>PRODUCT(H130,H132)</f>
        <v>0</v>
      </c>
      <c r="K132" s="829"/>
      <c r="L132" s="829"/>
      <c r="M132" s="829"/>
      <c r="N132" s="829"/>
      <c r="O132" s="103"/>
      <c r="P132" s="20"/>
      <c r="Q132" s="102"/>
      <c r="R132" s="92"/>
      <c r="S132" s="1"/>
    </row>
    <row r="133" spans="1:19" s="11" customFormat="1" ht="12.75" customHeight="1" x14ac:dyDescent="0.2">
      <c r="A133" s="19"/>
      <c r="B133" s="1002" t="s">
        <v>81</v>
      </c>
      <c r="C133" s="1003"/>
      <c r="D133" s="739">
        <f>IF(ISERROR(MATCH(ZonaTerritoriale,ElencoZone,0))=TRUE,0,INDEX(MatriceParametri,MATCH(ZonaTerritoriale,ElencoZone,0)+2,34))</f>
        <v>0</v>
      </c>
      <c r="E133" s="94"/>
      <c r="F133" s="737">
        <f>PRODUCT(D130,D133)</f>
        <v>0</v>
      </c>
      <c r="G133" s="20"/>
      <c r="H133" s="739">
        <f>IF(ISERROR(MATCH(ZonaTerritoriale,ElencoZone,0))=TRUE,0,INDEX(MatriceParametri,MATCH(ZonaTerritoriale,ElencoZone,0)+2,34))</f>
        <v>0</v>
      </c>
      <c r="I133" s="94"/>
      <c r="J133" s="737">
        <f>PRODUCT(H130,H133)</f>
        <v>0</v>
      </c>
      <c r="K133" s="829"/>
      <c r="L133" s="829"/>
      <c r="M133" s="829"/>
      <c r="N133" s="829"/>
      <c r="O133" s="103"/>
      <c r="P133" s="20"/>
      <c r="Q133" s="20"/>
      <c r="R133" s="92"/>
      <c r="S133" s="16"/>
    </row>
    <row r="134" spans="1:19" s="192" customFormat="1" ht="20.100000000000001" customHeight="1" x14ac:dyDescent="0.2">
      <c r="A134" s="185"/>
      <c r="B134" s="1007" t="str">
        <f>Parametri_DestUsoPersonalizzazione12</f>
        <v>Destinazione ulteriore 4</v>
      </c>
      <c r="C134" s="1008"/>
      <c r="D134" s="999">
        <f>Ou_UsoIniziale_Person4_ParVirt</f>
        <v>0</v>
      </c>
      <c r="E134" s="999"/>
      <c r="F134" s="999"/>
      <c r="G134" s="189"/>
      <c r="H134" s="999">
        <f>Ou_NuovaEd_Person4_ParVirt</f>
        <v>0</v>
      </c>
      <c r="I134" s="999"/>
      <c r="J134" s="999"/>
      <c r="K134" s="835"/>
      <c r="L134" s="835"/>
      <c r="M134" s="835"/>
      <c r="N134" s="835"/>
      <c r="O134" s="193"/>
      <c r="P134" s="189"/>
      <c r="Q134" s="189"/>
      <c r="R134" s="190"/>
      <c r="S134" s="191"/>
    </row>
    <row r="135" spans="1:19" s="7" customFormat="1" ht="12.75" customHeight="1" x14ac:dyDescent="0.2">
      <c r="A135" s="19"/>
      <c r="B135" s="1000" t="s">
        <v>79</v>
      </c>
      <c r="C135" s="1001"/>
      <c r="D135" s="733">
        <f>IF(ISERROR(MATCH(ZonaTerritoriale,ElencoZone,0))=TRUE,0,INDEX(MatriceParametri,MATCH(ZonaTerritoriale,ElencoZone,0),37))</f>
        <v>0</v>
      </c>
      <c r="E135" s="94"/>
      <c r="F135" s="737">
        <f>PRODUCT(D134,D135)</f>
        <v>0</v>
      </c>
      <c r="G135" s="107"/>
      <c r="H135" s="733">
        <f>IF(ISERROR(MATCH(ZonaTerritoriale,ElencoZone,0))=TRUE,0,INDEX(MatriceParametri,MATCH(ZonaTerritoriale,ElencoZone,0),37))</f>
        <v>0</v>
      </c>
      <c r="I135" s="94"/>
      <c r="J135" s="737">
        <f>PRODUCT(H134,H135)</f>
        <v>0</v>
      </c>
      <c r="K135" s="829"/>
      <c r="L135" s="829"/>
      <c r="M135" s="829"/>
      <c r="N135" s="829"/>
      <c r="O135" s="103"/>
      <c r="P135" s="20"/>
      <c r="Q135" s="102"/>
      <c r="R135" s="92"/>
      <c r="S135" s="1"/>
    </row>
    <row r="136" spans="1:19" s="7" customFormat="1" ht="12.75" customHeight="1" x14ac:dyDescent="0.2">
      <c r="A136" s="19"/>
      <c r="B136" s="1002" t="s">
        <v>80</v>
      </c>
      <c r="C136" s="1003"/>
      <c r="D136" s="734">
        <f>IF(ISERROR(MATCH(ZonaTerritoriale,ElencoZone,0))=TRUE,0,INDEX(MatriceParametri,MATCH(ZonaTerritoriale,ElencoZone,0)+1,37))</f>
        <v>0</v>
      </c>
      <c r="E136" s="94"/>
      <c r="F136" s="737">
        <f>PRODUCT(D134,D136)</f>
        <v>0</v>
      </c>
      <c r="G136" s="20"/>
      <c r="H136" s="734">
        <f>IF(ISERROR(MATCH(ZonaTerritoriale,ElencoZone,0))=TRUE,0,INDEX(MatriceParametri,MATCH(ZonaTerritoriale,ElencoZone,0)+1,37))</f>
        <v>0</v>
      </c>
      <c r="I136" s="94"/>
      <c r="J136" s="737">
        <f>PRODUCT(H134,H136)</f>
        <v>0</v>
      </c>
      <c r="K136" s="829"/>
      <c r="L136" s="829"/>
      <c r="M136" s="829"/>
      <c r="N136" s="829"/>
      <c r="O136" s="103"/>
      <c r="P136" s="20"/>
      <c r="Q136" s="102"/>
      <c r="R136" s="92"/>
      <c r="S136" s="1"/>
    </row>
    <row r="137" spans="1:19" s="11" customFormat="1" ht="12.75" customHeight="1" x14ac:dyDescent="0.2">
      <c r="A137" s="19"/>
      <c r="B137" s="1002" t="s">
        <v>81</v>
      </c>
      <c r="C137" s="1003"/>
      <c r="D137" s="739">
        <f>IF(ISERROR(MATCH(ZonaTerritoriale,ElencoZone,0))=TRUE,0,INDEX(MatriceParametri,MATCH(ZonaTerritoriale,ElencoZone,0)+2,37))</f>
        <v>0</v>
      </c>
      <c r="E137" s="94"/>
      <c r="F137" s="737">
        <f>PRODUCT(D134,D137)</f>
        <v>0</v>
      </c>
      <c r="G137" s="20"/>
      <c r="H137" s="739">
        <f>IF(ISERROR(MATCH(ZonaTerritoriale,ElencoZone,0))=TRUE,0,INDEX(MatriceParametri,MATCH(ZonaTerritoriale,ElencoZone,0)+2,37))</f>
        <v>0</v>
      </c>
      <c r="I137" s="94"/>
      <c r="J137" s="737">
        <f>PRODUCT(H134,H137)</f>
        <v>0</v>
      </c>
      <c r="K137" s="829"/>
      <c r="L137" s="829"/>
      <c r="M137" s="829"/>
      <c r="N137" s="829"/>
      <c r="O137" s="103"/>
      <c r="P137" s="20"/>
      <c r="Q137" s="20"/>
      <c r="R137" s="92"/>
      <c r="S137" s="16"/>
    </row>
    <row r="138" spans="1:19" s="192" customFormat="1" ht="20.100000000000001" customHeight="1" x14ac:dyDescent="0.2">
      <c r="A138" s="185"/>
      <c r="B138" s="1007" t="str">
        <f>Parametri_DestUsoPersonalizzazione13</f>
        <v>Destinazione ulteriore 5</v>
      </c>
      <c r="C138" s="1008"/>
      <c r="D138" s="999">
        <f>Ou_UsoIniziale_Person5_ParVirt</f>
        <v>0</v>
      </c>
      <c r="E138" s="999"/>
      <c r="F138" s="999"/>
      <c r="G138" s="189"/>
      <c r="H138" s="999">
        <f>Ou_NuovaEd_Person5_ParVirt</f>
        <v>0</v>
      </c>
      <c r="I138" s="999"/>
      <c r="J138" s="999"/>
      <c r="K138" s="835"/>
      <c r="L138" s="835"/>
      <c r="M138" s="835"/>
      <c r="N138" s="835"/>
      <c r="O138" s="193"/>
      <c r="P138" s="189"/>
      <c r="Q138" s="189"/>
      <c r="R138" s="190"/>
      <c r="S138" s="191"/>
    </row>
    <row r="139" spans="1:19" s="7" customFormat="1" ht="12.75" customHeight="1" x14ac:dyDescent="0.2">
      <c r="A139" s="19"/>
      <c r="B139" s="1000" t="s">
        <v>79</v>
      </c>
      <c r="C139" s="1001"/>
      <c r="D139" s="733">
        <f>IF(ISERROR(MATCH(ZonaTerritoriale,ElencoZone,0))=TRUE,0,INDEX(MatriceParametri,MATCH(ZonaTerritoriale,ElencoZone,0),40))</f>
        <v>0</v>
      </c>
      <c r="E139" s="94"/>
      <c r="F139" s="737">
        <f>PRODUCT(D138,D139)</f>
        <v>0</v>
      </c>
      <c r="G139" s="107"/>
      <c r="H139" s="733">
        <f>IF(ISERROR(MATCH(ZonaTerritoriale,ElencoZone,0))=TRUE,0,INDEX(MatriceParametri,MATCH(ZonaTerritoriale,ElencoZone,0),40))</f>
        <v>0</v>
      </c>
      <c r="I139" s="94"/>
      <c r="J139" s="737">
        <f>PRODUCT(H138,H139)</f>
        <v>0</v>
      </c>
      <c r="K139" s="829"/>
      <c r="L139" s="829"/>
      <c r="M139" s="829"/>
      <c r="N139" s="829"/>
      <c r="O139" s="103"/>
      <c r="P139" s="20"/>
      <c r="Q139" s="102"/>
      <c r="R139" s="92"/>
      <c r="S139" s="1"/>
    </row>
    <row r="140" spans="1:19" s="7" customFormat="1" ht="12.75" customHeight="1" x14ac:dyDescent="0.2">
      <c r="A140" s="19"/>
      <c r="B140" s="1002" t="s">
        <v>80</v>
      </c>
      <c r="C140" s="1003"/>
      <c r="D140" s="734">
        <f>IF(ISERROR(MATCH(ZonaTerritoriale,ElencoZone,0))=TRUE,0,INDEX(MatriceParametri,MATCH(ZonaTerritoriale,ElencoZone,0)+1,40))</f>
        <v>0</v>
      </c>
      <c r="E140" s="94"/>
      <c r="F140" s="737">
        <f>PRODUCT(D138,D140)</f>
        <v>0</v>
      </c>
      <c r="G140" s="20"/>
      <c r="H140" s="734">
        <f>IF(ISERROR(MATCH(ZonaTerritoriale,ElencoZone,0))=TRUE,0,INDEX(MatriceParametri,MATCH(ZonaTerritoriale,ElencoZone,0)+1,40))</f>
        <v>0</v>
      </c>
      <c r="I140" s="94"/>
      <c r="J140" s="737">
        <f>PRODUCT(H138,H140)</f>
        <v>0</v>
      </c>
      <c r="K140" s="829"/>
      <c r="L140" s="829"/>
      <c r="M140" s="829"/>
      <c r="N140" s="829"/>
      <c r="O140" s="103"/>
      <c r="P140" s="20"/>
      <c r="Q140" s="102"/>
      <c r="R140" s="92"/>
      <c r="S140" s="1"/>
    </row>
    <row r="141" spans="1:19" s="11" customFormat="1" ht="12.75" customHeight="1" x14ac:dyDescent="0.2">
      <c r="A141" s="19"/>
      <c r="B141" s="1002" t="s">
        <v>81</v>
      </c>
      <c r="C141" s="1003"/>
      <c r="D141" s="739">
        <f>IF(ISERROR(MATCH(ZonaTerritoriale,ElencoZone,0))=TRUE,0,INDEX(MatriceParametri,MATCH(ZonaTerritoriale,ElencoZone,0)+2,40))</f>
        <v>0</v>
      </c>
      <c r="E141" s="94"/>
      <c r="F141" s="737">
        <f>PRODUCT(D138,D141)</f>
        <v>0</v>
      </c>
      <c r="G141" s="20"/>
      <c r="H141" s="739">
        <f>IF(ISERROR(MATCH(ZonaTerritoriale,ElencoZone,0))=TRUE,0,INDEX(MatriceParametri,MATCH(ZonaTerritoriale,ElencoZone,0)+2,40))</f>
        <v>0</v>
      </c>
      <c r="I141" s="94"/>
      <c r="J141" s="737">
        <f>PRODUCT(H138,H141)</f>
        <v>0</v>
      </c>
      <c r="K141" s="829"/>
      <c r="L141" s="829"/>
      <c r="M141" s="829"/>
      <c r="N141" s="829"/>
      <c r="O141" s="103"/>
      <c r="P141" s="20"/>
      <c r="Q141" s="20"/>
      <c r="R141" s="92"/>
      <c r="S141" s="16"/>
    </row>
    <row r="142" spans="1:19" s="7" customFormat="1" ht="16.5" customHeight="1" x14ac:dyDescent="0.2">
      <c r="A142" s="19"/>
      <c r="B142" s="93"/>
      <c r="C142" s="1046" t="s">
        <v>226</v>
      </c>
      <c r="D142" s="1046"/>
      <c r="E142" s="1046"/>
      <c r="F142" s="1046"/>
      <c r="G142" s="1046" t="s">
        <v>227</v>
      </c>
      <c r="H142" s="1046"/>
      <c r="I142" s="1046"/>
      <c r="J142" s="1046"/>
      <c r="K142" s="836"/>
      <c r="L142" s="836"/>
      <c r="M142" s="836"/>
      <c r="N142" s="836"/>
      <c r="O142" s="137"/>
      <c r="P142" s="137"/>
      <c r="Q142" s="102"/>
      <c r="R142" s="92"/>
      <c r="S142" s="1"/>
    </row>
    <row r="143" spans="1:19" s="7" customFormat="1" ht="12.75" customHeight="1" x14ac:dyDescent="0.2">
      <c r="A143" s="19"/>
      <c r="B143" s="93"/>
      <c r="C143" s="36"/>
      <c r="D143" s="1009" t="s">
        <v>79</v>
      </c>
      <c r="E143" s="1003"/>
      <c r="F143" s="746">
        <f>ROUND(F91+F95+F99+F103+F107+F111+F115+F119+F123+F127+F131+F135+F139,2)</f>
        <v>0</v>
      </c>
      <c r="G143" s="20"/>
      <c r="H143" s="1009" t="s">
        <v>79</v>
      </c>
      <c r="I143" s="1003"/>
      <c r="J143" s="737">
        <f>ROUND(J91+J95+J99+J103+J107+J111+J115+J119+J123+J127+J131+J135+J139,2)</f>
        <v>0</v>
      </c>
      <c r="K143" s="829"/>
      <c r="L143" s="829"/>
      <c r="M143" s="829"/>
      <c r="N143" s="829"/>
      <c r="O143" s="103"/>
      <c r="P143" s="20"/>
      <c r="Q143" s="20"/>
      <c r="R143" s="92"/>
      <c r="S143" s="1"/>
    </row>
    <row r="144" spans="1:19" s="7" customFormat="1" ht="12.75" customHeight="1" x14ac:dyDescent="0.2">
      <c r="A144" s="19"/>
      <c r="B144" s="93"/>
      <c r="C144" s="36"/>
      <c r="D144" s="1009" t="s">
        <v>80</v>
      </c>
      <c r="E144" s="1003"/>
      <c r="F144" s="747">
        <f>ROUND(F92+F96+F100+F104+F108+F112+F116+F120+F124+F128+F132+F136+F140,2)</f>
        <v>0</v>
      </c>
      <c r="G144" s="20"/>
      <c r="H144" s="1009" t="s">
        <v>80</v>
      </c>
      <c r="I144" s="1003"/>
      <c r="J144" s="736">
        <f>ROUND(J92+J96+J100+J104+J108+J112+J116+J120+J124+J128+J132+J136+J140,2)</f>
        <v>0</v>
      </c>
      <c r="K144" s="829"/>
      <c r="L144" s="829"/>
      <c r="M144" s="829"/>
      <c r="N144" s="829"/>
      <c r="O144" s="103"/>
      <c r="P144" s="20"/>
      <c r="Q144" s="20"/>
      <c r="R144" s="92"/>
      <c r="S144" s="1"/>
    </row>
    <row r="145" spans="1:19" s="7" customFormat="1" ht="12.75" customHeight="1" x14ac:dyDescent="0.2">
      <c r="A145" s="19"/>
      <c r="B145" s="93"/>
      <c r="C145" s="1"/>
      <c r="D145" s="1009" t="s">
        <v>81</v>
      </c>
      <c r="E145" s="1003"/>
      <c r="F145" s="748">
        <f>ROUND(F93+F97+F101+F105+F109+F113+F117+F121+F125+F129+F133+F137+F141,2)</f>
        <v>0</v>
      </c>
      <c r="G145" s="20"/>
      <c r="H145" s="1009" t="s">
        <v>81</v>
      </c>
      <c r="I145" s="1003"/>
      <c r="J145" s="736">
        <f>ROUND(J93+J97+J101+J105+J109+J113+J117+J121+J125+J129+J133+J137+J141,2)</f>
        <v>0</v>
      </c>
      <c r="K145" s="829"/>
      <c r="L145" s="829"/>
      <c r="M145" s="829"/>
      <c r="N145" s="829"/>
      <c r="O145" s="103"/>
      <c r="P145" s="20"/>
      <c r="Q145" s="102"/>
      <c r="R145" s="92"/>
      <c r="S145" s="1"/>
    </row>
    <row r="146" spans="1:19" s="7" customFormat="1" ht="12.75" customHeight="1" x14ac:dyDescent="0.2">
      <c r="A146" s="19"/>
      <c r="B146" s="93"/>
      <c r="C146" s="1"/>
      <c r="D146" s="111"/>
      <c r="E146" s="96"/>
      <c r="F146" s="58"/>
      <c r="G146" s="20"/>
      <c r="H146" s="111"/>
      <c r="I146" s="96"/>
      <c r="J146" s="58"/>
      <c r="K146" s="58"/>
      <c r="L146" s="58"/>
      <c r="M146" s="58"/>
      <c r="N146" s="58"/>
      <c r="O146" s="103"/>
      <c r="P146" s="20"/>
      <c r="Q146" s="102"/>
      <c r="R146" s="92"/>
      <c r="S146" s="1"/>
    </row>
    <row r="147" spans="1:19" s="7" customFormat="1" ht="12.75" customHeight="1" x14ac:dyDescent="0.2">
      <c r="A147" s="19"/>
      <c r="B147" s="973" t="s">
        <v>252</v>
      </c>
      <c r="C147" s="974"/>
      <c r="D147" s="974"/>
      <c r="E147" s="974"/>
      <c r="F147" s="974"/>
      <c r="G147" s="974"/>
      <c r="H147" s="974"/>
      <c r="I147" s="974"/>
      <c r="J147" s="974"/>
      <c r="K147" s="974"/>
      <c r="L147" s="974"/>
      <c r="M147" s="974"/>
      <c r="N147" s="974"/>
      <c r="O147" s="975"/>
      <c r="P147" s="994">
        <f>IF(oneri_urb_prim_dest_finale-oneri_urb_prim_dest_iniziale&gt;0,oneri_urb_prim_dest_finale-oneri_urb_prim_dest_iniziale,0)</f>
        <v>0</v>
      </c>
      <c r="Q147" s="995"/>
      <c r="R147" s="99"/>
      <c r="S147" s="1"/>
    </row>
    <row r="148" spans="1:19" s="7" customFormat="1" ht="12.75" customHeight="1" x14ac:dyDescent="0.2">
      <c r="A148" s="19"/>
      <c r="B148" s="965" t="s">
        <v>253</v>
      </c>
      <c r="C148" s="998"/>
      <c r="D148" s="998"/>
      <c r="E148" s="998"/>
      <c r="F148" s="998"/>
      <c r="G148" s="998"/>
      <c r="H148" s="998"/>
      <c r="I148" s="998"/>
      <c r="J148" s="998"/>
      <c r="K148" s="998"/>
      <c r="L148" s="998"/>
      <c r="M148" s="998"/>
      <c r="N148" s="998"/>
      <c r="O148" s="966"/>
      <c r="P148" s="994">
        <f>IF(oneri_urb_sec_dest_finale-oneri_urb_sec_dest_iniziale&gt;0,oneri_urb_sec_dest_finale-oneri_urb_sec_dest_iniziale,0)</f>
        <v>0</v>
      </c>
      <c r="Q148" s="995"/>
      <c r="R148" s="99"/>
      <c r="S148" s="1"/>
    </row>
    <row r="149" spans="1:19" s="7" customFormat="1" ht="12.75" customHeight="1" x14ac:dyDescent="0.2">
      <c r="A149" s="19"/>
      <c r="B149" s="965" t="s">
        <v>225</v>
      </c>
      <c r="C149" s="998"/>
      <c r="D149" s="998"/>
      <c r="E149" s="998"/>
      <c r="F149" s="998"/>
      <c r="G149" s="998"/>
      <c r="H149" s="998"/>
      <c r="I149" s="998"/>
      <c r="J149" s="998"/>
      <c r="K149" s="998"/>
      <c r="L149" s="998"/>
      <c r="M149" s="998"/>
      <c r="N149" s="998"/>
      <c r="O149" s="966"/>
      <c r="P149" s="994">
        <f>smalt_rifiuti_dest_finale-smalt_rifiuti_dest_iniziale</f>
        <v>0</v>
      </c>
      <c r="Q149" s="995"/>
      <c r="R149" s="99"/>
      <c r="S149" s="1"/>
    </row>
    <row r="150" spans="1:19" s="7" customFormat="1" ht="12.75" customHeight="1" x14ac:dyDescent="0.2">
      <c r="A150" s="19"/>
      <c r="B150" s="394"/>
      <c r="C150" s="395"/>
      <c r="D150" s="395"/>
      <c r="E150" s="395"/>
      <c r="F150" s="395"/>
      <c r="G150" s="395"/>
      <c r="H150" s="395"/>
      <c r="I150" s="395"/>
      <c r="J150" s="395"/>
      <c r="K150" s="395"/>
      <c r="L150" s="395"/>
      <c r="M150" s="395"/>
      <c r="N150" s="395"/>
      <c r="O150" s="395"/>
      <c r="P150" s="642"/>
      <c r="Q150" s="749">
        <f>ImportoOneriUrb1_NuovaDest+ImportoOneriUrb2_NuovaDest+ImportoOneriSmaltRif_NuovaDest</f>
        <v>0</v>
      </c>
      <c r="R150" s="99"/>
      <c r="S150" s="1"/>
    </row>
    <row r="151" spans="1:19" s="7" customFormat="1" ht="12.75" customHeight="1" x14ac:dyDescent="0.2">
      <c r="A151" s="19"/>
      <c r="B151" s="93"/>
      <c r="C151" s="1"/>
      <c r="D151" s="111"/>
      <c r="E151" s="96"/>
      <c r="F151" s="58"/>
      <c r="G151" s="20"/>
      <c r="H151" s="111"/>
      <c r="I151" s="96"/>
      <c r="J151" s="58"/>
      <c r="K151" s="58"/>
      <c r="L151" s="58"/>
      <c r="M151" s="58"/>
      <c r="N151" s="58"/>
      <c r="O151" s="103"/>
      <c r="P151" s="20"/>
      <c r="Q151" s="102"/>
      <c r="R151" s="92"/>
      <c r="S151" s="1"/>
    </row>
    <row r="152" spans="1:19" s="11" customFormat="1" ht="15" customHeight="1" x14ac:dyDescent="0.2">
      <c r="A152" s="19"/>
      <c r="B152" s="1047" t="s">
        <v>241</v>
      </c>
      <c r="C152" s="1048"/>
      <c r="D152" s="1048"/>
      <c r="E152" s="1048"/>
      <c r="F152" s="1048"/>
      <c r="G152" s="1048"/>
      <c r="H152" s="1048"/>
      <c r="I152" s="1048"/>
      <c r="J152" s="1048"/>
      <c r="K152" s="1048"/>
      <c r="L152" s="1048"/>
      <c r="M152" s="1048"/>
      <c r="N152" s="1048"/>
      <c r="O152" s="1049"/>
      <c r="P152" s="1058">
        <f>IF(ImportoOneriUrb1_NuovaDest+ImportoOneriUrb2_NuovaDest&gt;0,ImportoOneriUrb1_NuovaDest+ImportoOneriUrb2_NuovaDest,0)</f>
        <v>0</v>
      </c>
      <c r="Q152" s="1059"/>
      <c r="R152" s="99"/>
      <c r="S152" s="16"/>
    </row>
    <row r="153" spans="1:19" s="7" customFormat="1" ht="15" customHeight="1" x14ac:dyDescent="0.2">
      <c r="A153" s="19"/>
      <c r="B153" s="1047" t="s">
        <v>225</v>
      </c>
      <c r="C153" s="1048"/>
      <c r="D153" s="1048"/>
      <c r="E153" s="1048"/>
      <c r="F153" s="1048"/>
      <c r="G153" s="1048"/>
      <c r="H153" s="1048"/>
      <c r="I153" s="1048"/>
      <c r="J153" s="1048"/>
      <c r="K153" s="1048"/>
      <c r="L153" s="1048"/>
      <c r="M153" s="1048"/>
      <c r="N153" s="1048"/>
      <c r="O153" s="1049"/>
      <c r="P153" s="1058">
        <f>IF(smalt_rifiuti_dest_finale-smalt_rifiuti_dest_iniziale&gt;0,smalt_rifiuti_dest_finale-smalt_rifiuti_dest_iniziale,0)</f>
        <v>0</v>
      </c>
      <c r="Q153" s="1059"/>
      <c r="R153" s="92"/>
      <c r="S153" s="1"/>
    </row>
    <row r="154" spans="1:19" s="11" customFormat="1" ht="12.75" customHeight="1" thickBot="1" x14ac:dyDescent="0.25">
      <c r="A154" s="19"/>
      <c r="B154" s="129"/>
      <c r="C154" s="130"/>
      <c r="D154" s="130"/>
      <c r="E154" s="130"/>
      <c r="F154" s="130"/>
      <c r="G154" s="131"/>
      <c r="H154" s="131"/>
      <c r="I154" s="101"/>
      <c r="J154" s="132"/>
      <c r="K154" s="132"/>
      <c r="L154" s="132"/>
      <c r="M154" s="132"/>
      <c r="N154" s="132"/>
      <c r="O154" s="132"/>
      <c r="P154" s="101"/>
      <c r="Q154" s="133"/>
      <c r="R154" s="119"/>
      <c r="S154" s="16"/>
    </row>
    <row r="155" spans="1:19" s="11" customFormat="1" ht="15" customHeight="1" thickBot="1" x14ac:dyDescent="0.25">
      <c r="A155" s="19"/>
      <c r="B155" s="1070" t="s">
        <v>75</v>
      </c>
      <c r="C155" s="1070"/>
      <c r="D155" s="1070"/>
      <c r="E155" s="1070"/>
      <c r="F155" s="1070"/>
      <c r="G155" s="1070"/>
      <c r="H155" s="1070"/>
      <c r="I155" s="1070"/>
      <c r="J155" s="1070"/>
      <c r="K155" s="1070"/>
      <c r="L155" s="1070"/>
      <c r="M155" s="1070"/>
      <c r="N155" s="1070"/>
      <c r="O155" s="1071"/>
      <c r="P155" s="1068">
        <f>ImportoOneriUrbanizzazione+ImportoSmaltRifiuti_NuovaDest+ImportoOneriUrbanizzazione_NuovaDest</f>
        <v>0</v>
      </c>
      <c r="Q155" s="1069"/>
      <c r="R155" s="120"/>
      <c r="S155" s="16"/>
    </row>
    <row r="156" spans="1:19" s="6" customFormat="1" ht="16.5" customHeight="1" thickBot="1" x14ac:dyDescent="0.25">
      <c r="A156" s="19"/>
      <c r="B156" s="20"/>
      <c r="C156" s="21"/>
      <c r="D156" s="22"/>
      <c r="E156" s="23"/>
      <c r="F156" s="22"/>
      <c r="G156" s="20"/>
      <c r="H156" s="20"/>
      <c r="I156" s="20"/>
      <c r="J156" s="20"/>
      <c r="K156" s="20"/>
      <c r="L156" s="20"/>
      <c r="M156" s="20"/>
      <c r="N156" s="20"/>
      <c r="O156" s="20"/>
      <c r="P156" s="20"/>
      <c r="Q156" s="20"/>
      <c r="R156" s="19"/>
      <c r="S156" s="2"/>
    </row>
    <row r="157" spans="1:19" s="9" customFormat="1" ht="15" customHeight="1" x14ac:dyDescent="0.25">
      <c r="A157" s="29"/>
      <c r="B157" s="980" t="s">
        <v>228</v>
      </c>
      <c r="C157" s="981"/>
      <c r="D157" s="981"/>
      <c r="E157" s="981"/>
      <c r="F157" s="981"/>
      <c r="G157" s="981"/>
      <c r="H157" s="981"/>
      <c r="I157" s="981"/>
      <c r="J157" s="981"/>
      <c r="K157" s="981"/>
      <c r="L157" s="981"/>
      <c r="M157" s="981"/>
      <c r="N157" s="981"/>
      <c r="O157" s="981"/>
      <c r="P157" s="981"/>
      <c r="Q157" s="981"/>
      <c r="R157" s="982"/>
      <c r="S157" s="14"/>
    </row>
    <row r="158" spans="1:19" s="9" customFormat="1" ht="15" customHeight="1" x14ac:dyDescent="0.25">
      <c r="A158" s="29"/>
      <c r="B158" s="199"/>
      <c r="C158" s="96"/>
      <c r="D158" s="20"/>
      <c r="E158" s="20"/>
      <c r="F158" s="20"/>
      <c r="G158" s="20"/>
      <c r="H158" s="20"/>
      <c r="I158" s="20"/>
      <c r="J158" s="20"/>
      <c r="K158" s="20"/>
      <c r="L158" s="20"/>
      <c r="M158" s="20"/>
      <c r="N158" s="20"/>
      <c r="O158" s="20"/>
      <c r="P158" s="20"/>
      <c r="Q158" s="20"/>
      <c r="R158" s="99"/>
      <c r="S158" s="14"/>
    </row>
    <row r="159" spans="1:19" s="9" customFormat="1" ht="15" customHeight="1" x14ac:dyDescent="0.25">
      <c r="A159" s="29"/>
      <c r="B159" s="1020" t="s">
        <v>136</v>
      </c>
      <c r="C159" s="1021"/>
      <c r="D159" s="1021"/>
      <c r="E159" s="1021"/>
      <c r="F159" s="1021"/>
      <c r="G159" s="1021"/>
      <c r="H159" s="1021"/>
      <c r="I159" s="1021"/>
      <c r="J159" s="1021"/>
      <c r="K159" s="1021"/>
      <c r="L159" s="1021"/>
      <c r="M159" s="1021"/>
      <c r="N159" s="1021"/>
      <c r="O159" s="1021"/>
      <c r="P159" s="1021"/>
      <c r="Q159" s="1021"/>
      <c r="R159" s="1022"/>
      <c r="S159" s="14"/>
    </row>
    <row r="160" spans="1:19" s="10" customFormat="1" ht="15" customHeight="1" x14ac:dyDescent="0.25">
      <c r="A160" s="25"/>
      <c r="B160" s="93"/>
      <c r="C160" s="96"/>
      <c r="D160" s="1010" t="s">
        <v>4</v>
      </c>
      <c r="E160" s="1010"/>
      <c r="F160" s="1010"/>
      <c r="G160" s="20"/>
      <c r="H160" s="1010" t="s">
        <v>0</v>
      </c>
      <c r="I160" s="1010"/>
      <c r="J160" s="1010"/>
      <c r="K160" s="833"/>
      <c r="L160" s="833"/>
      <c r="M160" s="833"/>
      <c r="N160" s="833"/>
      <c r="O160" s="89"/>
      <c r="P160" s="25"/>
      <c r="Q160" s="116"/>
      <c r="R160" s="91"/>
      <c r="S160" s="15"/>
    </row>
    <row r="161" spans="1:19" s="11" customFormat="1" ht="12.75" customHeight="1" x14ac:dyDescent="0.2">
      <c r="A161" s="19"/>
      <c r="B161" s="1081" t="s">
        <v>1</v>
      </c>
      <c r="C161" s="104" t="s">
        <v>83</v>
      </c>
      <c r="D161" s="750">
        <f ca="1">CostoCost_NuovaCost_ContrBaseMinistAliq</f>
        <v>6</v>
      </c>
      <c r="E161" s="23" t="s">
        <v>2</v>
      </c>
      <c r="F161" s="751">
        <f ca="1">CostoCost_NuovaCost_ContrBaseMinistValore</f>
        <v>0</v>
      </c>
      <c r="G161" s="104" t="s">
        <v>83</v>
      </c>
      <c r="H161" s="750">
        <f ca="1">CostoCost_Rist_ContrBaseMinistAliq</f>
        <v>5</v>
      </c>
      <c r="I161" s="23" t="s">
        <v>2</v>
      </c>
      <c r="J161" s="751">
        <f ca="1">CostoCost_Rist_ContrBaseMinistValore</f>
        <v>0</v>
      </c>
      <c r="K161" s="870"/>
      <c r="L161" s="870"/>
      <c r="M161" s="870"/>
      <c r="N161" s="870"/>
      <c r="O161" s="869"/>
      <c r="P161" s="1063">
        <f ca="1">ROUND(SUM(F161,J161,J162),2)</f>
        <v>0</v>
      </c>
      <c r="Q161" s="1063"/>
      <c r="R161" s="92"/>
      <c r="S161" s="17"/>
    </row>
    <row r="162" spans="1:19" s="11" customFormat="1" ht="12.75" customHeight="1" x14ac:dyDescent="0.2">
      <c r="A162" s="19"/>
      <c r="B162" s="1081"/>
      <c r="C162"/>
      <c r="D162"/>
      <c r="E162"/>
      <c r="F162" s="660"/>
      <c r="G162" s="659" t="s">
        <v>3</v>
      </c>
      <c r="H162" s="752">
        <f>CostoCost_Rist_ContrComEstComAliq</f>
        <v>0.1</v>
      </c>
      <c r="I162" s="401" t="s">
        <v>2</v>
      </c>
      <c r="J162" s="751">
        <f ca="1">CostoCostFinale_Rist_Resid_ComputoEstim</f>
        <v>0</v>
      </c>
      <c r="K162" s="871"/>
      <c r="L162" s="872"/>
      <c r="M162" s="872"/>
      <c r="N162" s="872"/>
      <c r="O162" s="402"/>
      <c r="P162" s="1063"/>
      <c r="Q162" s="1063"/>
      <c r="R162" s="92"/>
      <c r="S162" s="17"/>
    </row>
    <row r="163" spans="1:19" s="11" customFormat="1" ht="12.75" customHeight="1" x14ac:dyDescent="0.2">
      <c r="A163" s="19"/>
      <c r="B163" s="1074" t="s">
        <v>141</v>
      </c>
      <c r="C163" s="495" t="s">
        <v>83</v>
      </c>
      <c r="D163" s="750">
        <f ca="1">CostoCost_NuovaCost_ContrBaseMinistAliq</f>
        <v>6</v>
      </c>
      <c r="E163" s="492" t="s">
        <v>2</v>
      </c>
      <c r="F163" s="751">
        <f ca="1">CostoCost_NuovaCommTerz_ContrBaseMinistValore</f>
        <v>0</v>
      </c>
      <c r="G163" s="104" t="s">
        <v>83</v>
      </c>
      <c r="H163" s="750">
        <f ca="1">CostoCost_Rist_ContrBaseMinistAliq</f>
        <v>5</v>
      </c>
      <c r="I163" s="23" t="s">
        <v>2</v>
      </c>
      <c r="J163" s="754">
        <f ca="1">CostoCost_RistCommTerz_ContrBaseMinistValore</f>
        <v>0</v>
      </c>
      <c r="K163" s="873"/>
      <c r="L163" s="874"/>
      <c r="M163" s="874"/>
      <c r="N163" s="874"/>
      <c r="O163" s="496"/>
      <c r="P163" s="1063">
        <f ca="1">ROUND(SUM(F163,F164,J163,J164),2)</f>
        <v>0</v>
      </c>
      <c r="Q163" s="1063"/>
      <c r="R163" s="92"/>
      <c r="S163" s="17"/>
    </row>
    <row r="164" spans="1:19" s="11" customFormat="1" ht="12.75" customHeight="1" x14ac:dyDescent="0.2">
      <c r="A164" s="19"/>
      <c r="B164" s="973"/>
      <c r="C164" s="491" t="s">
        <v>3</v>
      </c>
      <c r="D164" s="752">
        <f>CostoCost_NuovaCost_ContrComEstComAliq</f>
        <v>0.1</v>
      </c>
      <c r="E164" s="23" t="s">
        <v>2</v>
      </c>
      <c r="F164" s="751">
        <f>CostoCostFinale_NuovaCostComm_ComputoEstim</f>
        <v>0</v>
      </c>
      <c r="G164" s="494" t="s">
        <v>3</v>
      </c>
      <c r="H164" s="753">
        <f>CostoCost_Rist_ContrComEstComAliq</f>
        <v>0.1</v>
      </c>
      <c r="I164" s="121" t="s">
        <v>2</v>
      </c>
      <c r="J164" s="754">
        <f>CostoCostFinale_RistComm_ComputoEstim</f>
        <v>0</v>
      </c>
      <c r="K164" s="871"/>
      <c r="L164" s="872"/>
      <c r="M164" s="872"/>
      <c r="N164" s="872"/>
      <c r="O164" s="402"/>
      <c r="P164" s="1063"/>
      <c r="Q164" s="1063"/>
      <c r="R164" s="92"/>
      <c r="S164" s="18"/>
    </row>
    <row r="165" spans="1:19" s="11" customFormat="1" ht="12.75" customHeight="1" x14ac:dyDescent="0.2">
      <c r="A165" s="19"/>
      <c r="B165" s="1072" t="s">
        <v>103</v>
      </c>
      <c r="C165" s="104" t="s">
        <v>83</v>
      </c>
      <c r="D165" s="750">
        <f ca="1">CostoCost_Sot_ContrBaseMinistAliq</f>
        <v>5</v>
      </c>
      <c r="E165" s="492" t="s">
        <v>2</v>
      </c>
      <c r="F165" s="751">
        <f ca="1">CostoCost_Sottotetti_ContrBaseMinistValore</f>
        <v>0</v>
      </c>
      <c r="G165" s="1075"/>
      <c r="H165" s="1076"/>
      <c r="I165" s="1076"/>
      <c r="J165" s="1076"/>
      <c r="K165" s="1076"/>
      <c r="L165" s="1076"/>
      <c r="M165" s="1076"/>
      <c r="N165" s="1076"/>
      <c r="O165" s="1077"/>
      <c r="P165" s="1063">
        <f ca="1">ROUND(SUM(F165,F166),2)</f>
        <v>0</v>
      </c>
      <c r="Q165" s="1063"/>
      <c r="R165" s="92"/>
      <c r="S165" s="17"/>
    </row>
    <row r="166" spans="1:19" s="11" customFormat="1" ht="12.75" customHeight="1" x14ac:dyDescent="0.2">
      <c r="A166" s="19"/>
      <c r="B166" s="1073"/>
      <c r="C166" s="491" t="s">
        <v>3</v>
      </c>
      <c r="D166" s="750">
        <f ca="1">CostoCost_Sot_ContrBaseMinistAliq</f>
        <v>5</v>
      </c>
      <c r="E166" s="493" t="s">
        <v>2</v>
      </c>
      <c r="F166" s="751">
        <f ca="1">CostoCostFinale_Sottotetti_ComputoEstim</f>
        <v>0</v>
      </c>
      <c r="G166" s="1078"/>
      <c r="H166" s="1079"/>
      <c r="I166" s="1079"/>
      <c r="J166" s="1079"/>
      <c r="K166" s="1079"/>
      <c r="L166" s="1079"/>
      <c r="M166" s="1079"/>
      <c r="N166" s="1079"/>
      <c r="O166" s="1080"/>
      <c r="P166" s="1063"/>
      <c r="Q166" s="1063"/>
      <c r="R166" s="92"/>
      <c r="S166" s="17"/>
    </row>
    <row r="167" spans="1:19" s="500" customFormat="1" ht="25.5" customHeight="1" x14ac:dyDescent="0.2">
      <c r="A167" s="497"/>
      <c r="B167" s="1064" t="s">
        <v>167</v>
      </c>
      <c r="C167" s="1065"/>
      <c r="D167" s="1066"/>
      <c r="E167" s="1066"/>
      <c r="F167" s="1066"/>
      <c r="G167" s="1066"/>
      <c r="H167" s="1066"/>
      <c r="I167" s="1066"/>
      <c r="J167" s="1066"/>
      <c r="K167" s="1066"/>
      <c r="L167" s="1066"/>
      <c r="M167" s="1066"/>
      <c r="N167" s="1066"/>
      <c r="O167" s="1067"/>
      <c r="P167" s="755" t="str">
        <f ca="1">IF(CC_AltriCosti_ValoreMaggCCRecSott&gt;0,IF(Parametri_MaggiorazioneSottotettiCC&gt;0, TEXT(Parametri_MaggiorazioneSottotettiCC,"0%"),"Nessuna"),"")</f>
        <v/>
      </c>
      <c r="Q167" s="756">
        <f ca="1">CostoCost_Sott_ContEscMagg*Parametri_MaggiorazioneSottotettiCC</f>
        <v>0</v>
      </c>
      <c r="R167" s="498"/>
      <c r="S167" s="499"/>
    </row>
    <row r="168" spans="1:19" s="11" customFormat="1" ht="12.75" hidden="1" customHeight="1" x14ac:dyDescent="0.2">
      <c r="A168" s="19"/>
      <c r="B168" s="965" t="s">
        <v>169</v>
      </c>
      <c r="C168" s="998"/>
      <c r="D168" s="998"/>
      <c r="E168" s="998"/>
      <c r="F168" s="998"/>
      <c r="G168" s="998"/>
      <c r="H168" s="998"/>
      <c r="I168" s="998"/>
      <c r="J168" s="998"/>
      <c r="K168" s="998"/>
      <c r="L168" s="998"/>
      <c r="M168" s="998"/>
      <c r="N168" s="998"/>
      <c r="O168" s="966"/>
      <c r="P168" s="757" t="str">
        <f>IF(CC_RiduzionePianoCasa&gt;0,IF(Par_PianoCasa_RidCC&gt;0, TEXT(Par_PianoCasa_RidCC,"0%")&amp;" a dedurre","Nessuna"),"")</f>
        <v/>
      </c>
      <c r="Q168" s="714">
        <f>IF(PianoCasa="Sì",((CC_Residenziale+CC_CommercioTerziario+cc_CostoCostRecSottProg+CC_AltriCosti_ValoreMaggCCRecSott)*Par_PianoCasa_RidCC),0 )</f>
        <v>0</v>
      </c>
      <c r="R168" s="122"/>
      <c r="S168" s="16"/>
    </row>
    <row r="169" spans="1:19" s="11" customFormat="1" ht="12.75" customHeight="1" x14ac:dyDescent="0.2">
      <c r="A169" s="19"/>
      <c r="B169" s="965" t="s">
        <v>365</v>
      </c>
      <c r="C169" s="998"/>
      <c r="D169" s="998"/>
      <c r="E169" s="998"/>
      <c r="F169" s="998"/>
      <c r="G169" s="998"/>
      <c r="H169" s="998"/>
      <c r="I169" s="998"/>
      <c r="J169" s="998"/>
      <c r="K169" s="998"/>
      <c r="L169" s="998"/>
      <c r="M169" s="998"/>
      <c r="N169" s="998"/>
      <c r="O169" s="966"/>
      <c r="P169" s="757" t="str">
        <f>IF(CC_RiduzioneDensificazione&gt;0,IF(Par_Rid_Densificazione_CC&gt;0, TEXT(Par_Rid_Densificazione_CC,"0%")&amp;" a dedurre","Nessuna"),"")</f>
        <v/>
      </c>
      <c r="Q169" s="714">
        <f>IF(Densificazione="Sì",((CC_Residenziale+CC_CommercioTerziario+cc_CostoCostRecSottProg+CC_AltriCosti_ValoreMaggCCRecSott)*Par_Rid_Densificazione_CC),0 )</f>
        <v>0</v>
      </c>
      <c r="R169" s="138"/>
      <c r="S169" s="16"/>
    </row>
    <row r="170" spans="1:19" s="11" customFormat="1" ht="12.75" customHeight="1" x14ac:dyDescent="0.2">
      <c r="A170" s="19"/>
      <c r="B170" s="965" t="s">
        <v>147</v>
      </c>
      <c r="C170" s="998"/>
      <c r="D170" s="998"/>
      <c r="E170" s="998"/>
      <c r="F170" s="998"/>
      <c r="G170" s="998"/>
      <c r="H170" s="998"/>
      <c r="I170" s="998"/>
      <c r="J170" s="998"/>
      <c r="K170" s="998"/>
      <c r="L170" s="998"/>
      <c r="M170" s="998"/>
      <c r="N170" s="998"/>
      <c r="O170" s="966"/>
      <c r="P170" s="758" t="str">
        <f>IF(CC_Corrisposto&gt;0," a dedurre","")</f>
        <v/>
      </c>
      <c r="Q170" s="759">
        <f>CostoCostr_NuovaEdif_corrisposto_concessione_cong+CostoCostr_NuovaEdif_corrisposto_varianti+CostoCostr_Ristrutt_corrisposto_concessione_cong+CostoCostr_Ristrutt_corrisposto_varianti+CostoCostr_Sottotetti_corrisposto_concessione_cong+CostoCostr_Sottotetti_corrisposto_varianti</f>
        <v>0</v>
      </c>
      <c r="R170" s="138"/>
      <c r="S170" s="17"/>
    </row>
    <row r="171" spans="1:19" s="11" customFormat="1" ht="15" customHeight="1" x14ac:dyDescent="0.2">
      <c r="A171" s="19"/>
      <c r="B171" s="1033" t="s">
        <v>99</v>
      </c>
      <c r="C171" s="1034"/>
      <c r="D171" s="1034"/>
      <c r="E171" s="1034"/>
      <c r="F171" s="1034"/>
      <c r="G171" s="1034"/>
      <c r="H171" s="1034"/>
      <c r="I171" s="1034"/>
      <c r="J171" s="1034"/>
      <c r="K171" s="1034"/>
      <c r="L171" s="1034"/>
      <c r="M171" s="1034"/>
      <c r="N171" s="1034"/>
      <c r="O171" s="1035"/>
      <c r="P171" s="1018">
        <f ca="1">IF((CC_Residenziale+CC_CommercioTerziario+cc_CostoCostRecSottProg+CC_AltriCosti_ValoreMaggCCRecSott-CC_RiduzionePianoCasa-CC_RiduzioneDensificazione-CC_Corrisposto)&gt;0,CC_Residenziale+CC_CommercioTerziario+cc_CostoCostRecSottProg+CC_AltriCosti_ValoreMaggCCRecSott-CC_RiduzionePianoCasa-CC_RiduzioneDensificazione-CC_Corrisposto,0)</f>
        <v>0</v>
      </c>
      <c r="Q171" s="1019"/>
      <c r="R171" s="92"/>
      <c r="S171" s="16"/>
    </row>
    <row r="172" spans="1:19" s="11" customFormat="1" ht="12.75" customHeight="1" x14ac:dyDescent="0.2">
      <c r="A172" s="19"/>
      <c r="B172" s="196"/>
      <c r="C172" s="136"/>
      <c r="D172" s="136"/>
      <c r="E172" s="136"/>
      <c r="F172" s="136"/>
      <c r="G172" s="136"/>
      <c r="H172" s="136"/>
      <c r="I172" s="136"/>
      <c r="J172" s="197"/>
      <c r="K172" s="197"/>
      <c r="L172" s="197"/>
      <c r="M172" s="197"/>
      <c r="N172" s="197"/>
      <c r="O172" s="136"/>
      <c r="P172" s="198"/>
      <c r="Q172" s="198"/>
      <c r="R172" s="92"/>
      <c r="S172" s="16"/>
    </row>
    <row r="173" spans="1:19" s="9" customFormat="1" ht="12.75" customHeight="1" x14ac:dyDescent="0.25">
      <c r="A173" s="29"/>
      <c r="B173" s="1020" t="s">
        <v>134</v>
      </c>
      <c r="C173" s="1021"/>
      <c r="D173" s="1021"/>
      <c r="E173" s="1021"/>
      <c r="F173" s="1021"/>
      <c r="G173" s="1021"/>
      <c r="H173" s="1021"/>
      <c r="I173" s="1021"/>
      <c r="J173" s="1021"/>
      <c r="K173" s="1021"/>
      <c r="L173" s="1021"/>
      <c r="M173" s="1021"/>
      <c r="N173" s="1021"/>
      <c r="O173" s="1021"/>
      <c r="P173" s="1021"/>
      <c r="Q173" s="1021"/>
      <c r="R173" s="1022"/>
      <c r="S173" s="14"/>
    </row>
    <row r="174" spans="1:19" s="6" customFormat="1" ht="12.75" customHeight="1" x14ac:dyDescent="0.2">
      <c r="A174" s="19"/>
      <c r="B174" s="1023" t="s">
        <v>122</v>
      </c>
      <c r="C174" s="1024"/>
      <c r="D174" s="1024"/>
      <c r="E174" s="1024"/>
      <c r="F174" s="1024"/>
      <c r="G174" s="1024"/>
      <c r="H174" s="1024"/>
      <c r="I174" s="1024"/>
      <c r="J174" s="1024"/>
      <c r="K174" s="1024"/>
      <c r="L174" s="1024"/>
      <c r="M174" s="1024"/>
      <c r="N174" s="1024"/>
      <c r="O174" s="1025"/>
      <c r="P174" s="994">
        <f>CostoCostProg_ContributoDovuto</f>
        <v>0</v>
      </c>
      <c r="Q174" s="995"/>
      <c r="R174" s="106"/>
      <c r="S174" s="2"/>
    </row>
    <row r="175" spans="1:19" s="6" customFormat="1" ht="12.75" customHeight="1" x14ac:dyDescent="0.2">
      <c r="A175" s="19"/>
      <c r="B175" s="1036" t="s">
        <v>135</v>
      </c>
      <c r="C175" s="1037"/>
      <c r="D175" s="1037"/>
      <c r="E175" s="1037"/>
      <c r="F175" s="1037"/>
      <c r="G175" s="1037"/>
      <c r="H175" s="1037"/>
      <c r="I175" s="1037"/>
      <c r="J175" s="1037"/>
      <c r="K175" s="1037"/>
      <c r="L175" s="1037"/>
      <c r="M175" s="1037"/>
      <c r="N175" s="1037"/>
      <c r="O175" s="1038"/>
      <c r="P175" s="1017">
        <f>CostoCostStatoFatto_ContributoDovuto</f>
        <v>0</v>
      </c>
      <c r="Q175" s="1017"/>
      <c r="R175" s="99"/>
      <c r="S175" s="2"/>
    </row>
    <row r="176" spans="1:19" s="11" customFormat="1" ht="12.75" hidden="1" customHeight="1" x14ac:dyDescent="0.2">
      <c r="A176" s="19"/>
      <c r="B176" s="965" t="s">
        <v>169</v>
      </c>
      <c r="C176" s="998"/>
      <c r="D176" s="998"/>
      <c r="E176" s="998"/>
      <c r="F176" s="998"/>
      <c r="G176" s="998"/>
      <c r="H176" s="998"/>
      <c r="I176" s="998"/>
      <c r="J176" s="998"/>
      <c r="K176" s="998"/>
      <c r="L176" s="998"/>
      <c r="M176" s="998"/>
      <c r="N176" s="998"/>
      <c r="O176" s="966"/>
      <c r="P176" s="757" t="str">
        <f>IF(CC_RiduzionePianoCasa_StFatto_Prog&gt;0,IF(Par_PianoCasa_RidCC&gt;0, TEXT(Par_PianoCasa_RidCC,"0%")&amp;" a dedurre","Nessuna"),"")</f>
        <v/>
      </c>
      <c r="Q176" s="714">
        <f>IF(PianoCasa="Sì",((CostoCostProg_ContributoDovuto-CostoCostStatoFatto_ContributoDovuto)*Par_PianoCasa_Rid),0 )</f>
        <v>0</v>
      </c>
      <c r="R176" s="122"/>
      <c r="S176" s="16"/>
    </row>
    <row r="177" spans="1:19" s="11" customFormat="1" ht="12.75" customHeight="1" x14ac:dyDescent="0.2">
      <c r="A177" s="19"/>
      <c r="B177" s="965" t="s">
        <v>365</v>
      </c>
      <c r="C177" s="998"/>
      <c r="D177" s="998"/>
      <c r="E177" s="998"/>
      <c r="F177" s="998"/>
      <c r="G177" s="998"/>
      <c r="H177" s="998"/>
      <c r="I177" s="998"/>
      <c r="J177" s="998"/>
      <c r="K177" s="998"/>
      <c r="L177" s="998"/>
      <c r="M177" s="998"/>
      <c r="N177" s="998"/>
      <c r="O177" s="966"/>
      <c r="P177" s="757" t="str">
        <f>IF(CC_RiduzioneDensificazione_StFatto_Prog&gt;0,IF(Par_Rid_Densificazione_CC&gt;0, TEXT(Par_Rid_Densificazione_CC,"0%")&amp;" a dedurre","Nessuna"),"")</f>
        <v/>
      </c>
      <c r="Q177" s="714">
        <f>IF(Densificazione="Sì",((CostoCostProg_ContributoDovuto-CostoCostStatoFatto_ContributoDovuto)*Par_Rid_Densificazione_CC),0 )</f>
        <v>0</v>
      </c>
      <c r="R177" s="138"/>
      <c r="S177" s="16"/>
    </row>
    <row r="178" spans="1:19" s="6" customFormat="1" ht="12.75" customHeight="1" x14ac:dyDescent="0.2">
      <c r="A178" s="19"/>
      <c r="B178" s="1036" t="s">
        <v>147</v>
      </c>
      <c r="C178" s="1037"/>
      <c r="D178" s="1037"/>
      <c r="E178" s="1037"/>
      <c r="F178" s="1037"/>
      <c r="G178" s="1037"/>
      <c r="H178" s="1037"/>
      <c r="I178" s="1037"/>
      <c r="J178" s="1037"/>
      <c r="K178" s="1037"/>
      <c r="L178" s="1037"/>
      <c r="M178" s="1037"/>
      <c r="N178" s="1037"/>
      <c r="O178" s="1038"/>
      <c r="P178" s="744" t="str">
        <f>IF(CC_Corrisposto&gt;0," a dedurre","")</f>
        <v/>
      </c>
      <c r="Q178" s="714">
        <f>ROUND(CostoCostr_NuovaEdif_Prog_corrisposto_concessione_cong+CostoCostr_NuovaEdif_Prog_corrisposto_varianti+CostoCostr_NuovaEdif_StFatto_corrisposto_concessione_cong+CostoCostr_NuovaEdif_StFatto_corrisposto_varianti,2)</f>
        <v>0</v>
      </c>
      <c r="R178" s="99"/>
      <c r="S178" s="2"/>
    </row>
    <row r="179" spans="1:19" s="84" customFormat="1" ht="15" customHeight="1" x14ac:dyDescent="0.2">
      <c r="A179" s="19"/>
      <c r="B179" s="1033" t="s">
        <v>99</v>
      </c>
      <c r="C179" s="1034"/>
      <c r="D179" s="1034"/>
      <c r="E179" s="1034"/>
      <c r="F179" s="1034"/>
      <c r="G179" s="1034"/>
      <c r="H179" s="1034"/>
      <c r="I179" s="1034"/>
      <c r="J179" s="1034"/>
      <c r="K179" s="1034"/>
      <c r="L179" s="1034"/>
      <c r="M179" s="1034"/>
      <c r="N179" s="1034"/>
      <c r="O179" s="1035"/>
      <c r="P179" s="1016">
        <f>IF((CostoCostProg_ContributoDovuto-CostoCostStatoFatto_ContributoDovuto-CostoCostr_Prog_StFatto_corrisposto-CC_RiduzionePianoCasa_StFatto_Prog-CC_RiduzioneDensificazione_StFatto_Prog)&gt;0,CostoCostProg_ContributoDovuto-CostoCostStatoFatto_ContributoDovuto-CostoCostr_Prog_StFatto_corrisposto-CC_RiduzionePianoCasa_StFatto_Prog-CC_RiduzioneDensificazione_StFatto_Prog,0)</f>
        <v>0</v>
      </c>
      <c r="Q179" s="1016"/>
      <c r="R179" s="99"/>
      <c r="S179" s="2"/>
    </row>
    <row r="180" spans="1:19" s="11" customFormat="1" ht="12.75" customHeight="1" thickBot="1" x14ac:dyDescent="0.25">
      <c r="A180" s="19"/>
      <c r="B180" s="123"/>
      <c r="C180" s="124"/>
      <c r="D180" s="125"/>
      <c r="E180" s="100"/>
      <c r="F180" s="126"/>
      <c r="G180" s="101"/>
      <c r="H180" s="101"/>
      <c r="I180" s="101"/>
      <c r="J180" s="101"/>
      <c r="K180" s="101"/>
      <c r="L180" s="101"/>
      <c r="M180" s="101"/>
      <c r="N180" s="101"/>
      <c r="O180" s="101"/>
      <c r="P180" s="101"/>
      <c r="Q180" s="128"/>
      <c r="R180" s="127"/>
      <c r="S180" s="17"/>
    </row>
    <row r="181" spans="1:19" s="84" customFormat="1" ht="15" customHeight="1" x14ac:dyDescent="0.2">
      <c r="A181" s="19"/>
      <c r="B181" s="1041" t="s">
        <v>99</v>
      </c>
      <c r="C181" s="1041"/>
      <c r="D181" s="1041"/>
      <c r="E181" s="1041"/>
      <c r="F181" s="1041"/>
      <c r="G181" s="1041"/>
      <c r="H181" s="1041"/>
      <c r="I181" s="1041"/>
      <c r="J181" s="1041"/>
      <c r="K181" s="1041"/>
      <c r="L181" s="1041"/>
      <c r="M181" s="1041"/>
      <c r="N181" s="1041"/>
      <c r="O181" s="1042"/>
      <c r="P181" s="1026">
        <f ca="1">ROUND(ImportoCostoCostruzione+ImportoCostoCostruzione_StatoFattoProgetto,2)</f>
        <v>0</v>
      </c>
      <c r="Q181" s="1027"/>
      <c r="R181" s="77"/>
      <c r="S181" s="2"/>
    </row>
    <row r="182" spans="1:19" s="6" customFormat="1" ht="15.75" customHeight="1" thickBot="1" x14ac:dyDescent="0.25">
      <c r="A182" s="19"/>
      <c r="B182" s="20"/>
      <c r="C182" s="21"/>
      <c r="D182" s="22"/>
      <c r="E182" s="23"/>
      <c r="F182" s="22"/>
      <c r="G182" s="20"/>
      <c r="H182" s="20"/>
      <c r="I182" s="20"/>
      <c r="J182" s="20"/>
      <c r="K182" s="20"/>
      <c r="L182" s="20"/>
      <c r="M182" s="20"/>
      <c r="N182" s="20"/>
      <c r="O182" s="20"/>
      <c r="P182" s="20"/>
      <c r="Q182" s="20"/>
      <c r="R182" s="19"/>
      <c r="S182" s="2"/>
    </row>
    <row r="183" spans="1:19" s="10" customFormat="1" ht="15" customHeight="1" x14ac:dyDescent="0.25">
      <c r="A183" s="25"/>
      <c r="B183" s="1043" t="s">
        <v>84</v>
      </c>
      <c r="C183" s="1044"/>
      <c r="D183" s="1044"/>
      <c r="E183" s="1044"/>
      <c r="F183" s="1044"/>
      <c r="G183" s="1044"/>
      <c r="H183" s="1044"/>
      <c r="I183" s="1044"/>
      <c r="J183" s="1044"/>
      <c r="K183" s="1044"/>
      <c r="L183" s="1044"/>
      <c r="M183" s="1044"/>
      <c r="N183" s="1044"/>
      <c r="O183" s="1044"/>
      <c r="P183" s="1044"/>
      <c r="Q183" s="1044"/>
      <c r="R183" s="1045"/>
      <c r="S183" s="760">
        <f ca="1">ROUND(F60-F37-F38+F161+F162+F163+F164+(P174-P175),2)</f>
        <v>0</v>
      </c>
    </row>
    <row r="184" spans="1:19" s="10" customFormat="1" ht="15" customHeight="1" x14ac:dyDescent="0.25">
      <c r="A184" s="25"/>
      <c r="B184" s="973" t="s">
        <v>290</v>
      </c>
      <c r="C184" s="974"/>
      <c r="D184" s="974"/>
      <c r="E184" s="974"/>
      <c r="F184" s="974"/>
      <c r="G184" s="974"/>
      <c r="H184" s="974"/>
      <c r="I184" s="974"/>
      <c r="J184" s="974"/>
      <c r="K184" s="974"/>
      <c r="L184" s="974"/>
      <c r="M184" s="974"/>
      <c r="N184" s="974"/>
      <c r="O184" s="975"/>
      <c r="P184" s="1017">
        <f>IF(InSanatoria="No",0,IF(InSanatoria="Si (nuova edificazione)",S183,IF(InSanatoria="Si (ristrutturazione)",S184,IF(InSanatoria="Si (recupero sottotetto)",S185,IF(InSanatoria="Si (intero contributo)",S183+S184+S185,0)))))</f>
        <v>0</v>
      </c>
      <c r="Q184" s="1017"/>
      <c r="R184" s="554"/>
      <c r="S184" s="760">
        <f ca="1">ROUND(J60+J161+J162+J163+J164+(P174-P175),2)</f>
        <v>0</v>
      </c>
    </row>
    <row r="185" spans="1:19" s="11" customFormat="1" ht="12.75" customHeight="1" x14ac:dyDescent="0.25">
      <c r="A185" s="19"/>
      <c r="B185" s="973" t="s">
        <v>174</v>
      </c>
      <c r="C185" s="974"/>
      <c r="D185" s="974"/>
      <c r="E185" s="974"/>
      <c r="F185" s="974"/>
      <c r="G185" s="974"/>
      <c r="H185" s="974"/>
      <c r="I185" s="974"/>
      <c r="J185" s="974"/>
      <c r="K185" s="974"/>
      <c r="L185" s="974"/>
      <c r="M185" s="974"/>
      <c r="N185" s="974"/>
      <c r="O185" s="975"/>
      <c r="P185" s="1017">
        <f>DatiGen_IntervSanOnerosaForfImp</f>
        <v>0</v>
      </c>
      <c r="Q185" s="1017"/>
      <c r="R185" s="105"/>
      <c r="S185" s="760">
        <f ca="1">ROUND(J37+J38+CC_AltriCosti_ValoreMaggOnPrimRecSott+CC_AltriCosti_ValoreMaggOnRecSott+F165+F166+CC_AltriCosti_ValoreMaggCCRecSott,2)</f>
        <v>0</v>
      </c>
    </row>
    <row r="186" spans="1:19" s="11" customFormat="1" ht="12.75" customHeight="1" x14ac:dyDescent="0.25">
      <c r="A186" s="19"/>
      <c r="B186" s="965" t="s">
        <v>337</v>
      </c>
      <c r="C186" s="998"/>
      <c r="D186" s="998"/>
      <c r="E186" s="998"/>
      <c r="F186" s="998"/>
      <c r="G186" s="998"/>
      <c r="H186" s="998"/>
      <c r="I186" s="998"/>
      <c r="J186" s="998"/>
      <c r="K186" s="998"/>
      <c r="L186" s="998"/>
      <c r="M186" s="998"/>
      <c r="N186" s="998"/>
      <c r="O186" s="966"/>
      <c r="P186" s="761" t="str">
        <f>IF(ConsumoSuolo&lt;&gt;"No",IF(ConsumoSuolo&gt;0, TEXT(ConsumoSuolo,"0%"),"Nessuna"),"")</f>
        <v/>
      </c>
      <c r="Q186" s="762">
        <f>SUM((IF(ConsumoSuolo&lt;&gt;"No",(CC_Residenziale+CC_CommercioTerziario+cc_CostoCostRecSottProg)*ConsumoSuolo,0)),(IF(ConsumoSuolo&lt;&gt;"No",(IF(P174-P175&gt;0,P174-P175,0))*ConsumoSuolo,0)))</f>
        <v>0</v>
      </c>
      <c r="R186" s="105"/>
      <c r="S186" s="647"/>
    </row>
    <row r="187" spans="1:19" s="11" customFormat="1" ht="12.75" customHeight="1" x14ac:dyDescent="0.2">
      <c r="A187" s="19"/>
      <c r="B187" s="965" t="s">
        <v>188</v>
      </c>
      <c r="C187" s="998"/>
      <c r="D187" s="998"/>
      <c r="E187" s="998"/>
      <c r="F187" s="998"/>
      <c r="G187" s="998"/>
      <c r="H187" s="998"/>
      <c r="I187" s="998"/>
      <c r="J187" s="998"/>
      <c r="K187" s="998"/>
      <c r="L187" s="998"/>
      <c r="M187" s="998"/>
      <c r="N187" s="998"/>
      <c r="O187" s="966"/>
      <c r="P187" s="744" t="str">
        <f>IF(OnUrb_AltriCosti_ValoreMaggCostoCAreeAgr&gt;0,IF(Parametri_MaggiorazioneAreeAgric&gt;0,Parametri_MaggiorazioneAreeAgric&amp;"%","Nessuna"),"")</f>
        <v/>
      </c>
      <c r="Q187" s="714">
        <f>IF(Ou_NuovaEd_AreaAgricola="Sì",IF(Ou_NuovaEd_AreaAgricolaPerc&gt;0,(ImportoOneriUrb1+ImportoOneriUrb2+ImportoOneriSmaltimentoRif)*Parametri_MaggiorazioneAreeAgric/100)*Ou_NuovaEd_AreaAgricolaPerc,0)</f>
        <v>0</v>
      </c>
      <c r="R187" s="105"/>
      <c r="S187" s="16"/>
    </row>
    <row r="188" spans="1:19" s="11" customFormat="1" ht="12.75" customHeight="1" x14ac:dyDescent="0.2">
      <c r="A188" s="19"/>
      <c r="B188" s="965" t="s">
        <v>189</v>
      </c>
      <c r="C188" s="998"/>
      <c r="D188" s="998"/>
      <c r="E188" s="998"/>
      <c r="F188" s="998"/>
      <c r="G188" s="998"/>
      <c r="H188" s="998"/>
      <c r="I188" s="998"/>
      <c r="J188" s="998"/>
      <c r="K188" s="998"/>
      <c r="L188" s="998"/>
      <c r="M188" s="998"/>
      <c r="N188" s="998"/>
      <c r="O188" s="966"/>
      <c r="P188" s="744" t="str">
        <f>IF(CC_AltriCosti_ValoreMaggCostoCAreeAgr&gt;0,IF(Parametri_MaggiorazioneAreeAgric&gt;0,Parametri_MaggiorazioneAreeAgric&amp;"%","Nessuna"),"")</f>
        <v/>
      </c>
      <c r="Q188" s="714">
        <f>IF(Ou_NuovaEd_AreaAgricola="Sì",IF(Ou_NuovaEd_AreaAgricolaPerc&gt;0,((CC_Residenziale+CC_CommercioTerziario+cc_CostoCostRecSottProg)*Parametri_MaggiorazioneAreeAgric/100)*Ou_NuovaEd_AreaAgricolaPerc,((CC_Residenziale+CC_CommercioTerziario+cc_CostoCostRecSottProg)*Parametri_MaggiorazioneAreeAgric/100)),0)</f>
        <v>0</v>
      </c>
      <c r="R188" s="105"/>
      <c r="S188" s="16"/>
    </row>
    <row r="189" spans="1:19" s="11" customFormat="1" ht="12.75" customHeight="1" x14ac:dyDescent="0.2">
      <c r="A189" s="19"/>
      <c r="B189" s="965" t="s">
        <v>100</v>
      </c>
      <c r="C189" s="998"/>
      <c r="D189" s="998"/>
      <c r="E189" s="998"/>
      <c r="F189" s="998"/>
      <c r="G189" s="998"/>
      <c r="H189" s="998"/>
      <c r="I189" s="998"/>
      <c r="J189" s="998"/>
      <c r="K189" s="998"/>
      <c r="L189" s="998"/>
      <c r="M189" s="998"/>
      <c r="N189" s="998"/>
      <c r="O189" s="966"/>
      <c r="P189" s="1017">
        <f>IF(ISERROR(MATCH(ZonaMonetizzazioneAreeStand,ElencoZoneMonetizzazione))=TRUE,0,ZonaMonetizzazioneAreeStand_Valore*Monetizz_Aree_sup)</f>
        <v>0</v>
      </c>
      <c r="Q189" s="1017"/>
      <c r="R189" s="105"/>
      <c r="S189" s="86" t="str">
        <f>IF(ZonaMonetizzazioneAreeStand&lt;&gt;"",(VLOOKUP(ZonaMonetizzazioneAreeStand,Parametri_ElencoZoneMatrice,5,FALSE)),"")</f>
        <v/>
      </c>
    </row>
    <row r="190" spans="1:19" s="11" customFormat="1" ht="12.75" customHeight="1" thickBot="1" x14ac:dyDescent="0.25">
      <c r="A190" s="19"/>
      <c r="B190" s="1030" t="s">
        <v>121</v>
      </c>
      <c r="C190" s="1031"/>
      <c r="D190" s="1031"/>
      <c r="E190" s="1031"/>
      <c r="F190" s="1031"/>
      <c r="G190" s="1031"/>
      <c r="H190" s="1031"/>
      <c r="I190" s="1031"/>
      <c r="J190" s="1031"/>
      <c r="K190" s="1031"/>
      <c r="L190" s="1031"/>
      <c r="M190" s="1031"/>
      <c r="N190" s="1031"/>
      <c r="O190" s="1032"/>
      <c r="P190" s="1039">
        <f>IF(ISERROR(MATCH(ZonaMonetizzazioneParcheg,ElencoZoneMonetizzazione_Parcheggi))=TRUE,0,ZonaMonetizzazioneParcheggi_Valore*Monetizz_Parcheggi_Sup)</f>
        <v>0</v>
      </c>
      <c r="Q190" s="1039"/>
      <c r="R190" s="139"/>
      <c r="S190" s="86" t="str">
        <f>IF(ZonaMonetizzazioneParcheg&lt;&gt;"",(VLOOKUP(ZonaMonetizzazioneParcheg,Parametri_ElencoZoneParcheggiMatrice,5,FALSE)),"")</f>
        <v/>
      </c>
    </row>
    <row r="191" spans="1:19" s="11" customFormat="1" ht="15" customHeight="1" x14ac:dyDescent="0.2">
      <c r="A191" s="19"/>
      <c r="B191" s="1028" t="s">
        <v>99</v>
      </c>
      <c r="C191" s="1028"/>
      <c r="D191" s="1028"/>
      <c r="E191" s="1028"/>
      <c r="F191" s="1028"/>
      <c r="G191" s="1028"/>
      <c r="H191" s="1028"/>
      <c r="I191" s="1028"/>
      <c r="J191" s="1028"/>
      <c r="K191" s="1028"/>
      <c r="L191" s="1028"/>
      <c r="M191" s="1028"/>
      <c r="N191" s="1028"/>
      <c r="O191" s="1029"/>
      <c r="P191" s="1040">
        <f>ROUND(CC_Oblazione+CC_AltriCosti_Sanzione+CC_MaggConsumoSuolo+OnUrb_AltriCosti_ValoreMaggCostoCAreeAgr+CC_AltriCosti_ValoreMaggCostoCAreeAgr+Co_MonAreeStand+Co_MonAreeParc,2)</f>
        <v>0</v>
      </c>
      <c r="Q191" s="1040"/>
      <c r="R191" s="140"/>
      <c r="S191" s="16"/>
    </row>
    <row r="192" spans="1:19" s="6" customFormat="1" ht="16.5" customHeight="1" x14ac:dyDescent="0.2">
      <c r="A192" s="19"/>
      <c r="B192" s="20"/>
      <c r="C192" s="21"/>
      <c r="D192" s="22"/>
      <c r="E192" s="23"/>
      <c r="F192" s="22"/>
      <c r="G192" s="20"/>
      <c r="H192" s="20"/>
      <c r="I192" s="20"/>
      <c r="J192" s="20"/>
      <c r="K192" s="20"/>
      <c r="L192" s="20"/>
      <c r="M192" s="20"/>
      <c r="N192" s="20"/>
      <c r="O192" s="20"/>
      <c r="P192" s="20"/>
      <c r="Q192" s="118"/>
      <c r="R192" s="19"/>
      <c r="S192" s="2"/>
    </row>
    <row r="193" spans="1:19" s="6" customFormat="1" ht="15" customHeight="1" x14ac:dyDescent="0.2">
      <c r="A193" s="26"/>
      <c r="B193" s="1060" t="s">
        <v>171</v>
      </c>
      <c r="C193" s="1060"/>
      <c r="D193" s="1060"/>
      <c r="E193" s="1060"/>
      <c r="F193" s="1060"/>
      <c r="G193" s="1060"/>
      <c r="H193" s="1060"/>
      <c r="I193" s="1060"/>
      <c r="J193" s="1060"/>
      <c r="K193" s="1060"/>
      <c r="L193" s="1060"/>
      <c r="M193" s="1060"/>
      <c r="N193" s="1060"/>
      <c r="O193" s="1061"/>
      <c r="P193" s="1058">
        <f ca="1">ROUND(ImportoOneriUrbanizzazione_Riferimento+ImportoCostoCostruzione_conAltriCosti+ImportoAltriCosti,2)</f>
        <v>0</v>
      </c>
      <c r="Q193" s="1059"/>
      <c r="R193" s="142"/>
      <c r="S193" s="2"/>
    </row>
    <row r="194" spans="1:19" s="84" customFormat="1" ht="15" customHeight="1" x14ac:dyDescent="0.2">
      <c r="A194" s="26"/>
      <c r="B194" s="182"/>
      <c r="C194" s="182"/>
      <c r="D194" s="182"/>
      <c r="E194" s="182"/>
      <c r="F194" s="182"/>
      <c r="G194" s="182"/>
      <c r="H194" s="182"/>
      <c r="I194" s="182"/>
      <c r="J194" s="182"/>
      <c r="K194" s="834"/>
      <c r="L194" s="834"/>
      <c r="M194" s="834"/>
      <c r="N194" s="834"/>
      <c r="O194" s="182"/>
      <c r="P194"/>
      <c r="Q194"/>
      <c r="R194" s="77"/>
      <c r="S194" s="2"/>
    </row>
  </sheetData>
  <sheetProtection sheet="1" formatColumns="0" formatRows="0" insertRows="0"/>
  <mergeCells count="318">
    <mergeCell ref="L3:N3"/>
    <mergeCell ref="L4:N4"/>
    <mergeCell ref="L24:N24"/>
    <mergeCell ref="L28:N28"/>
    <mergeCell ref="L32:N32"/>
    <mergeCell ref="L20:N20"/>
    <mergeCell ref="B96:C96"/>
    <mergeCell ref="B97:C97"/>
    <mergeCell ref="B98:C98"/>
    <mergeCell ref="B81:O81"/>
    <mergeCell ref="H94:J94"/>
    <mergeCell ref="B78:O78"/>
    <mergeCell ref="B83:O83"/>
    <mergeCell ref="B91:C91"/>
    <mergeCell ref="D98:F98"/>
    <mergeCell ref="B167:C167"/>
    <mergeCell ref="D167:O167"/>
    <mergeCell ref="D160:F160"/>
    <mergeCell ref="B147:O147"/>
    <mergeCell ref="P155:Q155"/>
    <mergeCell ref="P152:Q152"/>
    <mergeCell ref="B153:O153"/>
    <mergeCell ref="P153:Q153"/>
    <mergeCell ref="B155:O155"/>
    <mergeCell ref="B157:R157"/>
    <mergeCell ref="B165:B166"/>
    <mergeCell ref="B163:B164"/>
    <mergeCell ref="G165:O166"/>
    <mergeCell ref="B149:O149"/>
    <mergeCell ref="P163:Q164"/>
    <mergeCell ref="P165:Q166"/>
    <mergeCell ref="B161:B162"/>
    <mergeCell ref="P149:Q149"/>
    <mergeCell ref="B159:R159"/>
    <mergeCell ref="P161:Q162"/>
    <mergeCell ref="B103:C103"/>
    <mergeCell ref="B104:C104"/>
    <mergeCell ref="B105:C105"/>
    <mergeCell ref="P148:Q148"/>
    <mergeCell ref="B148:O148"/>
    <mergeCell ref="H106:J106"/>
    <mergeCell ref="B106:C106"/>
    <mergeCell ref="B135:C135"/>
    <mergeCell ref="B114:C114"/>
    <mergeCell ref="B115:C115"/>
    <mergeCell ref="P193:Q193"/>
    <mergeCell ref="B193:O193"/>
    <mergeCell ref="P49:Q49"/>
    <mergeCell ref="P33:Q33"/>
    <mergeCell ref="P34:Q34"/>
    <mergeCell ref="P35:Q35"/>
    <mergeCell ref="P53:Q53"/>
    <mergeCell ref="P50:Q50"/>
    <mergeCell ref="B34:C34"/>
    <mergeCell ref="P86:Q86"/>
    <mergeCell ref="P47:Q47"/>
    <mergeCell ref="P55:Q55"/>
    <mergeCell ref="P59:Q59"/>
    <mergeCell ref="P70:Q70"/>
    <mergeCell ref="D40:F40"/>
    <mergeCell ref="L36:N36"/>
    <mergeCell ref="L40:N40"/>
    <mergeCell ref="P43:Q43"/>
    <mergeCell ref="B99:C99"/>
    <mergeCell ref="B109:C109"/>
    <mergeCell ref="B112:C112"/>
    <mergeCell ref="B107:C107"/>
    <mergeCell ref="B108:C108"/>
    <mergeCell ref="B111:C111"/>
    <mergeCell ref="P3:Q3"/>
    <mergeCell ref="P7:Q7"/>
    <mergeCell ref="P9:Q9"/>
    <mergeCell ref="P10:Q10"/>
    <mergeCell ref="P11:Q11"/>
    <mergeCell ref="P51:Q51"/>
    <mergeCell ref="P54:Q54"/>
    <mergeCell ref="P72:Q72"/>
    <mergeCell ref="P41:Q41"/>
    <mergeCell ref="P37:Q37"/>
    <mergeCell ref="P38:Q38"/>
    <mergeCell ref="P58:Q58"/>
    <mergeCell ref="P57:Q57"/>
    <mergeCell ref="P42:Q42"/>
    <mergeCell ref="P13:Q13"/>
    <mergeCell ref="P21:Q21"/>
    <mergeCell ref="P15:Q15"/>
    <mergeCell ref="P17:Q17"/>
    <mergeCell ref="P18:Q18"/>
    <mergeCell ref="P14:Q14"/>
    <mergeCell ref="P19:Q19"/>
    <mergeCell ref="P45:Q45"/>
    <mergeCell ref="P27:Q27"/>
    <mergeCell ref="P39:Q39"/>
    <mergeCell ref="D36:F36"/>
    <mergeCell ref="B20:C20"/>
    <mergeCell ref="B28:C28"/>
    <mergeCell ref="B29:C29"/>
    <mergeCell ref="B30:C30"/>
    <mergeCell ref="B31:C31"/>
    <mergeCell ref="P30:Q30"/>
    <mergeCell ref="H32:J32"/>
    <mergeCell ref="B32:C32"/>
    <mergeCell ref="D32:F32"/>
    <mergeCell ref="B35:C35"/>
    <mergeCell ref="H36:J36"/>
    <mergeCell ref="H20:J20"/>
    <mergeCell ref="B15:C15"/>
    <mergeCell ref="L16:N16"/>
    <mergeCell ref="H16:J16"/>
    <mergeCell ref="B16:C16"/>
    <mergeCell ref="B10:C10"/>
    <mergeCell ref="B11:C11"/>
    <mergeCell ref="B86:O86"/>
    <mergeCell ref="B80:O80"/>
    <mergeCell ref="B110:C110"/>
    <mergeCell ref="B95:C95"/>
    <mergeCell ref="D106:F106"/>
    <mergeCell ref="D102:F102"/>
    <mergeCell ref="B84:O84"/>
    <mergeCell ref="B25:C25"/>
    <mergeCell ref="L52:N52"/>
    <mergeCell ref="H98:J98"/>
    <mergeCell ref="B58:C58"/>
    <mergeCell ref="B45:C45"/>
    <mergeCell ref="B40:C40"/>
    <mergeCell ref="B41:C41"/>
    <mergeCell ref="B42:C42"/>
    <mergeCell ref="D89:F89"/>
    <mergeCell ref="B54:C54"/>
    <mergeCell ref="B55:C55"/>
    <mergeCell ref="B152:O152"/>
    <mergeCell ref="D145:E145"/>
    <mergeCell ref="B2:R2"/>
    <mergeCell ref="H110:J110"/>
    <mergeCell ref="D3:F3"/>
    <mergeCell ref="H3:J3"/>
    <mergeCell ref="D4:F4"/>
    <mergeCell ref="B26:C26"/>
    <mergeCell ref="B27:C27"/>
    <mergeCell ref="B22:C22"/>
    <mergeCell ref="D110:F110"/>
    <mergeCell ref="B46:C46"/>
    <mergeCell ref="B47:C47"/>
    <mergeCell ref="B18:C18"/>
    <mergeCell ref="P62:Q62"/>
    <mergeCell ref="P46:Q46"/>
    <mergeCell ref="P31:Q31"/>
    <mergeCell ref="B21:C21"/>
    <mergeCell ref="B23:C23"/>
    <mergeCell ref="L44:N44"/>
    <mergeCell ref="L48:N48"/>
    <mergeCell ref="B17:C17"/>
    <mergeCell ref="D24:F24"/>
    <mergeCell ref="D20:F20"/>
    <mergeCell ref="B185:O185"/>
    <mergeCell ref="D122:F122"/>
    <mergeCell ref="B119:C119"/>
    <mergeCell ref="B120:C120"/>
    <mergeCell ref="B122:C122"/>
    <mergeCell ref="H122:J122"/>
    <mergeCell ref="B171:O171"/>
    <mergeCell ref="B168:O168"/>
    <mergeCell ref="H144:I144"/>
    <mergeCell ref="B130:C130"/>
    <mergeCell ref="H138:J138"/>
    <mergeCell ref="B134:C134"/>
    <mergeCell ref="D134:F134"/>
    <mergeCell ref="B183:R183"/>
    <mergeCell ref="B129:C129"/>
    <mergeCell ref="B176:O176"/>
    <mergeCell ref="B169:O169"/>
    <mergeCell ref="B170:O170"/>
    <mergeCell ref="B124:C124"/>
    <mergeCell ref="H160:J160"/>
    <mergeCell ref="D130:F130"/>
    <mergeCell ref="H130:J130"/>
    <mergeCell ref="C142:F142"/>
    <mergeCell ref="G142:J142"/>
    <mergeCell ref="P179:Q179"/>
    <mergeCell ref="P185:Q185"/>
    <mergeCell ref="P189:Q189"/>
    <mergeCell ref="P171:Q171"/>
    <mergeCell ref="P174:Q174"/>
    <mergeCell ref="B173:R173"/>
    <mergeCell ref="B174:O174"/>
    <mergeCell ref="P181:Q181"/>
    <mergeCell ref="B191:O191"/>
    <mergeCell ref="P175:Q175"/>
    <mergeCell ref="P184:Q184"/>
    <mergeCell ref="B190:O190"/>
    <mergeCell ref="B179:O179"/>
    <mergeCell ref="B187:O187"/>
    <mergeCell ref="B178:O178"/>
    <mergeCell ref="B177:O177"/>
    <mergeCell ref="P190:Q190"/>
    <mergeCell ref="P191:Q191"/>
    <mergeCell ref="B184:O184"/>
    <mergeCell ref="B181:O181"/>
    <mergeCell ref="B188:O188"/>
    <mergeCell ref="B189:O189"/>
    <mergeCell ref="B175:O175"/>
    <mergeCell ref="B186:O186"/>
    <mergeCell ref="B113:C113"/>
    <mergeCell ref="B123:C123"/>
    <mergeCell ref="B73:O73"/>
    <mergeCell ref="H143:I143"/>
    <mergeCell ref="H145:I145"/>
    <mergeCell ref="D143:E143"/>
    <mergeCell ref="D138:F138"/>
    <mergeCell ref="B117:C117"/>
    <mergeCell ref="B118:C118"/>
    <mergeCell ref="B121:C121"/>
    <mergeCell ref="B76:O76"/>
    <mergeCell ref="B75:O75"/>
    <mergeCell ref="D118:F118"/>
    <mergeCell ref="H114:J114"/>
    <mergeCell ref="D114:F114"/>
    <mergeCell ref="B133:C133"/>
    <mergeCell ref="B116:C116"/>
    <mergeCell ref="B101:C101"/>
    <mergeCell ref="H102:J102"/>
    <mergeCell ref="B100:C100"/>
    <mergeCell ref="B92:C92"/>
    <mergeCell ref="B93:C93"/>
    <mergeCell ref="B74:O74"/>
    <mergeCell ref="D52:F52"/>
    <mergeCell ref="H52:J52"/>
    <mergeCell ref="B53:C53"/>
    <mergeCell ref="H90:J90"/>
    <mergeCell ref="B88:R88"/>
    <mergeCell ref="P80:Q80"/>
    <mergeCell ref="P84:Q84"/>
    <mergeCell ref="P147:Q147"/>
    <mergeCell ref="B140:C140"/>
    <mergeCell ref="B141:C141"/>
    <mergeCell ref="B128:C128"/>
    <mergeCell ref="B136:C136"/>
    <mergeCell ref="B137:C137"/>
    <mergeCell ref="B131:C131"/>
    <mergeCell ref="B138:C138"/>
    <mergeCell ref="H118:J118"/>
    <mergeCell ref="B125:C125"/>
    <mergeCell ref="B126:C126"/>
    <mergeCell ref="B127:C127"/>
    <mergeCell ref="D126:F126"/>
    <mergeCell ref="H126:J126"/>
    <mergeCell ref="P29:Q29"/>
    <mergeCell ref="B132:C132"/>
    <mergeCell ref="D144:E144"/>
    <mergeCell ref="B44:C44"/>
    <mergeCell ref="L56:N56"/>
    <mergeCell ref="B5:C5"/>
    <mergeCell ref="B6:C6"/>
    <mergeCell ref="B59:C59"/>
    <mergeCell ref="B56:C56"/>
    <mergeCell ref="B57:C57"/>
    <mergeCell ref="B8:C8"/>
    <mergeCell ref="B139:C139"/>
    <mergeCell ref="H134:J134"/>
    <mergeCell ref="B102:C102"/>
    <mergeCell ref="B63:O63"/>
    <mergeCell ref="H89:J89"/>
    <mergeCell ref="B90:C90"/>
    <mergeCell ref="H44:J44"/>
    <mergeCell ref="D48:F48"/>
    <mergeCell ref="B66:O66"/>
    <mergeCell ref="B52:C52"/>
    <mergeCell ref="D94:F94"/>
    <mergeCell ref="B94:C94"/>
    <mergeCell ref="B82:O82"/>
    <mergeCell ref="H4:J4"/>
    <mergeCell ref="D28:F28"/>
    <mergeCell ref="B72:O72"/>
    <mergeCell ref="B33:C33"/>
    <mergeCell ref="B65:O65"/>
    <mergeCell ref="H40:J40"/>
    <mergeCell ref="B43:C43"/>
    <mergeCell ref="B4:C4"/>
    <mergeCell ref="B7:C7"/>
    <mergeCell ref="B9:C9"/>
    <mergeCell ref="H28:J28"/>
    <mergeCell ref="B61:F61"/>
    <mergeCell ref="B62:O62"/>
    <mergeCell ref="H56:J56"/>
    <mergeCell ref="H24:J24"/>
    <mergeCell ref="L8:N8"/>
    <mergeCell ref="L12:N12"/>
    <mergeCell ref="D16:F16"/>
    <mergeCell ref="D8:F8"/>
    <mergeCell ref="H8:J8"/>
    <mergeCell ref="D12:F12"/>
    <mergeCell ref="H12:J12"/>
    <mergeCell ref="B13:C13"/>
    <mergeCell ref="B14:C14"/>
    <mergeCell ref="P6:Q6"/>
    <mergeCell ref="B69:O69"/>
    <mergeCell ref="S5:S6"/>
    <mergeCell ref="D90:F90"/>
    <mergeCell ref="B64:O64"/>
    <mergeCell ref="D56:F56"/>
    <mergeCell ref="B49:C49"/>
    <mergeCell ref="B77:O77"/>
    <mergeCell ref="B50:C50"/>
    <mergeCell ref="B71:F71"/>
    <mergeCell ref="P5:Q5"/>
    <mergeCell ref="B70:O70"/>
    <mergeCell ref="B12:C12"/>
    <mergeCell ref="B19:C19"/>
    <mergeCell ref="H48:J48"/>
    <mergeCell ref="D44:F44"/>
    <mergeCell ref="B67:O67"/>
    <mergeCell ref="B68:O68"/>
    <mergeCell ref="B48:C48"/>
    <mergeCell ref="B51:C51"/>
    <mergeCell ref="P22:Q22"/>
    <mergeCell ref="P26:Q26"/>
    <mergeCell ref="P23:Q23"/>
    <mergeCell ref="P25:Q25"/>
  </mergeCells>
  <phoneticPr fontId="4" type="noConversion"/>
  <conditionalFormatting sqref="D12:F12 D32:F32 D8:F8 H4:L4 H16:K16 D20:F20 D24:F24 D28:F28 D4:F4 H12:K12 D16:F16 D36:F36 H24:K24 H28:K28 H32:K32 D98:F98 D118:F118 D94:F94 D102:F102 D106:F106 D110:F110 D114:F114 D90:F90 O12 O16 O4 O32 O28 O24 H20:O20">
    <cfRule type="cellIs" dxfId="81" priority="47" stopIfTrue="1" operator="greaterThan">
      <formula>0</formula>
    </cfRule>
  </conditionalFormatting>
  <conditionalFormatting sqref="H8:K8 O8">
    <cfRule type="cellIs" dxfId="80" priority="48" stopIfTrue="1" operator="notEqual">
      <formula>0</formula>
    </cfRule>
  </conditionalFormatting>
  <conditionalFormatting sqref="H94:O94 H102:O102 H90:O90">
    <cfRule type="cellIs" dxfId="79" priority="39" stopIfTrue="1" operator="greaterThan">
      <formula>0</formula>
    </cfRule>
  </conditionalFormatting>
  <conditionalFormatting sqref="H98:O98">
    <cfRule type="cellIs" dxfId="78" priority="38" stopIfTrue="1" operator="greaterThan">
      <formula>0</formula>
    </cfRule>
  </conditionalFormatting>
  <conditionalFormatting sqref="H106:O106">
    <cfRule type="cellIs" dxfId="77" priority="37" stopIfTrue="1" operator="greaterThan">
      <formula>0</formula>
    </cfRule>
  </conditionalFormatting>
  <conditionalFormatting sqref="H110:O110">
    <cfRule type="cellIs" dxfId="76" priority="36" stopIfTrue="1" operator="greaterThan">
      <formula>0</formula>
    </cfRule>
  </conditionalFormatting>
  <conditionalFormatting sqref="H114:O114">
    <cfRule type="cellIs" dxfId="75" priority="35" stopIfTrue="1" operator="greaterThan">
      <formula>0</formula>
    </cfRule>
  </conditionalFormatting>
  <conditionalFormatting sqref="H118:O118">
    <cfRule type="cellIs" dxfId="74" priority="34" stopIfTrue="1" operator="greaterThan">
      <formula>0</formula>
    </cfRule>
  </conditionalFormatting>
  <conditionalFormatting sqref="D48:F48 H48:J48 O48">
    <cfRule type="cellIs" dxfId="73" priority="26" stopIfTrue="1" operator="greaterThan">
      <formula>0</formula>
    </cfRule>
  </conditionalFormatting>
  <conditionalFormatting sqref="D40:F40 H40:O40">
    <cfRule type="cellIs" dxfId="72" priority="28" stopIfTrue="1" operator="greaterThan">
      <formula>0</formula>
    </cfRule>
  </conditionalFormatting>
  <conditionalFormatting sqref="D44:F44 H44:J44 O44">
    <cfRule type="cellIs" dxfId="71" priority="27" stopIfTrue="1" operator="greaterThan">
      <formula>0</formula>
    </cfRule>
  </conditionalFormatting>
  <conditionalFormatting sqref="D122:F122">
    <cfRule type="cellIs" dxfId="70" priority="25" stopIfTrue="1" operator="greaterThan">
      <formula>0</formula>
    </cfRule>
  </conditionalFormatting>
  <conditionalFormatting sqref="H122:O122">
    <cfRule type="cellIs" dxfId="69" priority="24" stopIfTrue="1" operator="greaterThan">
      <formula>0</formula>
    </cfRule>
  </conditionalFormatting>
  <conditionalFormatting sqref="D126:F126">
    <cfRule type="cellIs" dxfId="68" priority="23" stopIfTrue="1" operator="greaterThan">
      <formula>0</formula>
    </cfRule>
  </conditionalFormatting>
  <conditionalFormatting sqref="H126:O126">
    <cfRule type="cellIs" dxfId="67" priority="22" stopIfTrue="1" operator="greaterThan">
      <formula>0</formula>
    </cfRule>
  </conditionalFormatting>
  <conditionalFormatting sqref="D130:F130">
    <cfRule type="cellIs" dxfId="66" priority="21" stopIfTrue="1" operator="greaterThan">
      <formula>0</formula>
    </cfRule>
  </conditionalFormatting>
  <conditionalFormatting sqref="H130:O130">
    <cfRule type="cellIs" dxfId="65" priority="20" stopIfTrue="1" operator="greaterThan">
      <formula>0</formula>
    </cfRule>
  </conditionalFormatting>
  <conditionalFormatting sqref="D52:F52 H52:J52 O52">
    <cfRule type="cellIs" dxfId="64" priority="19" stopIfTrue="1" operator="greaterThan">
      <formula>0</formula>
    </cfRule>
  </conditionalFormatting>
  <conditionalFormatting sqref="D56:F56 H56:O56">
    <cfRule type="cellIs" dxfId="63" priority="18" stopIfTrue="1" operator="greaterThan">
      <formula>0</formula>
    </cfRule>
  </conditionalFormatting>
  <conditionalFormatting sqref="D134:F134">
    <cfRule type="cellIs" dxfId="62" priority="17" stopIfTrue="1" operator="greaterThan">
      <formula>0</formula>
    </cfRule>
  </conditionalFormatting>
  <conditionalFormatting sqref="H134:O134">
    <cfRule type="cellIs" dxfId="61" priority="16" stopIfTrue="1" operator="greaterThan">
      <formula>0</formula>
    </cfRule>
  </conditionalFormatting>
  <conditionalFormatting sqref="D138:F138">
    <cfRule type="cellIs" dxfId="60" priority="15" stopIfTrue="1" operator="greaterThan">
      <formula>0</formula>
    </cfRule>
  </conditionalFormatting>
  <conditionalFormatting sqref="H138:O138">
    <cfRule type="cellIs" dxfId="59" priority="14" stopIfTrue="1" operator="greaterThan">
      <formula>0</formula>
    </cfRule>
  </conditionalFormatting>
  <conditionalFormatting sqref="H36:N36">
    <cfRule type="cellIs" dxfId="58" priority="13" stopIfTrue="1" operator="greaterThan">
      <formula>0</formula>
    </cfRule>
  </conditionalFormatting>
  <conditionalFormatting sqref="L12:N12 L8:N8">
    <cfRule type="cellIs" dxfId="57" priority="12" stopIfTrue="1" operator="greaterThan">
      <formula>0</formula>
    </cfRule>
  </conditionalFormatting>
  <conditionalFormatting sqref="K52 K48">
    <cfRule type="cellIs" dxfId="56" priority="10" stopIfTrue="1" operator="greaterThan">
      <formula>0</formula>
    </cfRule>
  </conditionalFormatting>
  <conditionalFormatting sqref="K44">
    <cfRule type="cellIs" dxfId="55" priority="11" stopIfTrue="1" operator="notEqual">
      <formula>0</formula>
    </cfRule>
  </conditionalFormatting>
  <conditionalFormatting sqref="L32:N32">
    <cfRule type="cellIs" dxfId="54" priority="4" stopIfTrue="1" operator="greaterThan">
      <formula>0</formula>
    </cfRule>
  </conditionalFormatting>
  <conditionalFormatting sqref="L16:N16">
    <cfRule type="cellIs" dxfId="53" priority="7" stopIfTrue="1" operator="greaterThan">
      <formula>0</formula>
    </cfRule>
  </conditionalFormatting>
  <conditionalFormatting sqref="L24:N24">
    <cfRule type="cellIs" dxfId="52" priority="6" stopIfTrue="1" operator="greaterThan">
      <formula>0</formula>
    </cfRule>
  </conditionalFormatting>
  <conditionalFormatting sqref="L28:N28">
    <cfRule type="cellIs" dxfId="51" priority="5" stopIfTrue="1" operator="greaterThan">
      <formula>0</formula>
    </cfRule>
  </conditionalFormatting>
  <conditionalFormatting sqref="L44:N44">
    <cfRule type="cellIs" dxfId="50" priority="3" stopIfTrue="1" operator="greaterThan">
      <formula>0</formula>
    </cfRule>
  </conditionalFormatting>
  <conditionalFormatting sqref="L48:N48">
    <cfRule type="cellIs" dxfId="49" priority="2" stopIfTrue="1" operator="greaterThan">
      <formula>0</formula>
    </cfRule>
  </conditionalFormatting>
  <conditionalFormatting sqref="L52:N52">
    <cfRule type="cellIs" dxfId="48" priority="1" stopIfTrue="1" operator="greaterThan">
      <formula>0</formula>
    </cfRule>
  </conditionalFormatting>
  <hyperlinks>
    <hyperlink ref="S5:S6" location="'Procedura guidata'!A1" display="Torna alla procedura guidata!" xr:uid="{00000000-0004-0000-0200-000000000000}"/>
  </hyperlinks>
  <pageMargins left="0.19685039370078741" right="0.15748031496062992" top="0.27559055118110237" bottom="0.27559055118110237" header="0.27559055118110237" footer="0.23622047244094491"/>
  <pageSetup paperSize="9" scale="52"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
    <tabColor rgb="FFFFFF66"/>
    <pageSetUpPr fitToPage="1"/>
  </sheetPr>
  <dimension ref="A1:IT112"/>
  <sheetViews>
    <sheetView showGridLines="0" zoomScaleNormal="100" workbookViewId="0">
      <selection activeCell="B36" sqref="B36:F36"/>
    </sheetView>
  </sheetViews>
  <sheetFormatPr defaultColWidth="0" defaultRowHeight="12.75" zeroHeight="1" x14ac:dyDescent="0.2"/>
  <cols>
    <col min="1" max="1" width="5.7109375" customWidth="1"/>
    <col min="2" max="2" width="26.85546875" customWidth="1"/>
    <col min="3" max="3" width="14.7109375" customWidth="1"/>
    <col min="4" max="7" width="20.7109375" customWidth="1"/>
    <col min="8" max="8" width="3.28515625" customWidth="1"/>
    <col min="9" max="9" width="18.7109375" customWidth="1"/>
    <col min="10" max="28" width="9.140625" hidden="1" customWidth="1"/>
    <col min="29" max="29" width="9" hidden="1" customWidth="1"/>
    <col min="30" max="251" width="9.140625" hidden="1" customWidth="1"/>
    <col min="252" max="252" width="4.140625" hidden="1" customWidth="1"/>
    <col min="253" max="253" width="3.42578125" hidden="1" customWidth="1"/>
    <col min="254" max="254" width="2.85546875" hidden="1" customWidth="1"/>
    <col min="255" max="16384" width="4.85546875" hidden="1"/>
  </cols>
  <sheetData>
    <row r="1" spans="1:9" s="6" customFormat="1" ht="12.75" customHeight="1" thickBot="1" x14ac:dyDescent="0.25">
      <c r="A1" s="396"/>
      <c r="B1" s="1106" t="str">
        <f>"Versione 19 (12/12/2017) CONTRIBUTO DI COSTRUZIONE"</f>
        <v>Versione 19 (12/12/2017) CONTRIBUTO DI COSTRUZIONE</v>
      </c>
      <c r="C1" s="1106"/>
      <c r="D1" s="1106"/>
      <c r="E1" s="1106"/>
      <c r="F1" s="1106"/>
      <c r="G1" s="1106"/>
      <c r="H1" s="1106"/>
      <c r="I1" s="76"/>
    </row>
    <row r="2" spans="1:9" s="8" customFormat="1" ht="12.75" customHeight="1" x14ac:dyDescent="0.2">
      <c r="A2" s="32"/>
      <c r="B2" s="980" t="s">
        <v>160</v>
      </c>
      <c r="C2" s="981"/>
      <c r="D2" s="981"/>
      <c r="E2" s="981"/>
      <c r="F2" s="981"/>
      <c r="G2" s="981"/>
      <c r="H2" s="982"/>
      <c r="I2" s="462"/>
    </row>
    <row r="3" spans="1:9" s="6" customFormat="1" ht="12.75" customHeight="1" x14ac:dyDescent="0.2">
      <c r="A3" s="33"/>
      <c r="B3" s="1081" t="s">
        <v>161</v>
      </c>
      <c r="C3" s="1097"/>
      <c r="D3" s="1097"/>
      <c r="E3" s="1097"/>
      <c r="F3" s="1098"/>
      <c r="G3" s="1107" t="s">
        <v>155</v>
      </c>
      <c r="H3" s="52"/>
      <c r="I3"/>
    </row>
    <row r="4" spans="1:9" s="6" customFormat="1" ht="12.75" customHeight="1" x14ac:dyDescent="0.2">
      <c r="A4" s="33"/>
      <c r="B4" s="1099" t="str">
        <f>IF(ZonaTerritoriale&lt;&gt;"",INDEX(Parametri_ElencoZoneTerritorialiDesc,MATCH(ZonaTerritoriale,ElencoZoneTerritoriali,0),1),"")</f>
        <v>Inserire zona urbanistica da PGT</v>
      </c>
      <c r="C4" s="1100"/>
      <c r="D4" s="1100"/>
      <c r="E4" s="1100"/>
      <c r="F4" s="1101"/>
      <c r="G4" s="1107"/>
      <c r="H4" s="689"/>
      <c r="I4"/>
    </row>
    <row r="5" spans="1:9" s="6" customFormat="1" ht="12.75" customHeight="1" x14ac:dyDescent="0.2">
      <c r="A5" s="33"/>
      <c r="B5" s="965" t="s">
        <v>223</v>
      </c>
      <c r="C5" s="998"/>
      <c r="D5" s="998"/>
      <c r="E5" s="998"/>
      <c r="F5" s="966"/>
      <c r="G5" s="420" t="s">
        <v>92</v>
      </c>
      <c r="H5" s="699" t="s">
        <v>24</v>
      </c>
      <c r="I5"/>
    </row>
    <row r="6" spans="1:9" s="6" customFormat="1" ht="12.75" customHeight="1" x14ac:dyDescent="0.2">
      <c r="A6" s="33"/>
      <c r="B6" s="965" t="s">
        <v>368</v>
      </c>
      <c r="C6" s="998"/>
      <c r="D6" s="998"/>
      <c r="E6" s="998"/>
      <c r="F6" s="966"/>
      <c r="G6" s="421">
        <v>0</v>
      </c>
      <c r="H6" s="699" t="s">
        <v>24</v>
      </c>
      <c r="I6" s="964" t="s">
        <v>242</v>
      </c>
    </row>
    <row r="7" spans="1:9" s="6" customFormat="1" ht="12.75" customHeight="1" x14ac:dyDescent="0.2">
      <c r="A7" s="30"/>
      <c r="B7" s="965" t="s">
        <v>224</v>
      </c>
      <c r="C7" s="998"/>
      <c r="D7" s="998"/>
      <c r="E7" s="998"/>
      <c r="F7" s="966"/>
      <c r="G7" s="422" t="s">
        <v>92</v>
      </c>
      <c r="H7" s="699" t="s">
        <v>24</v>
      </c>
      <c r="I7" s="964"/>
    </row>
    <row r="8" spans="1:9" s="6" customFormat="1" ht="12.75" hidden="1" customHeight="1" x14ac:dyDescent="0.2">
      <c r="A8" s="30"/>
      <c r="B8" s="965" t="s">
        <v>175</v>
      </c>
      <c r="C8" s="998"/>
      <c r="D8" s="998"/>
      <c r="E8" s="998"/>
      <c r="F8" s="966"/>
      <c r="G8" s="420" t="s">
        <v>92</v>
      </c>
      <c r="H8" s="699"/>
      <c r="I8" s="30"/>
    </row>
    <row r="9" spans="1:9" s="84" customFormat="1" ht="12.75" customHeight="1" x14ac:dyDescent="0.2">
      <c r="A9" s="30"/>
      <c r="B9" s="965" t="s">
        <v>364</v>
      </c>
      <c r="C9" s="998"/>
      <c r="D9" s="998"/>
      <c r="E9" s="998"/>
      <c r="F9" s="966"/>
      <c r="G9" s="420" t="s">
        <v>92</v>
      </c>
      <c r="H9" s="699" t="s">
        <v>24</v>
      </c>
      <c r="I9" s="30"/>
    </row>
    <row r="10" spans="1:9" s="84" customFormat="1" ht="12.75" customHeight="1" x14ac:dyDescent="0.2">
      <c r="A10" s="30"/>
      <c r="B10" s="965" t="s">
        <v>336</v>
      </c>
      <c r="C10" s="998"/>
      <c r="D10" s="998"/>
      <c r="E10" s="998"/>
      <c r="F10" s="966"/>
      <c r="G10" s="631" t="s">
        <v>92</v>
      </c>
      <c r="H10" s="699" t="s">
        <v>24</v>
      </c>
      <c r="I10" s="30"/>
    </row>
    <row r="11" spans="1:9" s="6" customFormat="1" ht="12.75" customHeight="1" x14ac:dyDescent="0.2">
      <c r="A11" s="30"/>
      <c r="B11" s="1091" t="s">
        <v>269</v>
      </c>
      <c r="C11" s="1092"/>
      <c r="D11" s="1092"/>
      <c r="E11" s="1092"/>
      <c r="F11" s="1093"/>
      <c r="G11" s="420" t="s">
        <v>92</v>
      </c>
      <c r="H11" s="699" t="s">
        <v>24</v>
      </c>
      <c r="I11" s="30"/>
    </row>
    <row r="12" spans="1:9" s="84" customFormat="1" ht="12.75" customHeight="1" x14ac:dyDescent="0.2">
      <c r="A12" s="30"/>
      <c r="B12" s="1091" t="s">
        <v>271</v>
      </c>
      <c r="C12" s="1092"/>
      <c r="D12" s="1092"/>
      <c r="E12" s="1092"/>
      <c r="F12" s="1093"/>
      <c r="G12" s="508">
        <v>0</v>
      </c>
      <c r="H12" s="699" t="s">
        <v>24</v>
      </c>
      <c r="I12" s="30"/>
    </row>
    <row r="13" spans="1:9" s="6" customFormat="1" ht="12.75" customHeight="1" thickBot="1" x14ac:dyDescent="0.25">
      <c r="A13" s="24"/>
      <c r="B13" s="74"/>
      <c r="C13" s="67"/>
      <c r="D13" s="67"/>
      <c r="E13" s="67"/>
      <c r="F13" s="67"/>
      <c r="G13" s="67"/>
      <c r="H13" s="61"/>
      <c r="I13" s="559" t="b">
        <f>IF(AND(selezione_passo_descrizione_intervento="x",selezione_nuova_costruzione="o",selezione_ampliamento="o",selezione_ristrutturazione="o",selezione_cambio_uso="o",selezione_sottotetti="o"),FALSE,TRUE)</f>
        <v>1</v>
      </c>
    </row>
    <row r="14" spans="1:9" s="6" customFormat="1" ht="12.75" customHeight="1" thickBot="1" x14ac:dyDescent="0.25">
      <c r="A14" s="24"/>
      <c r="B14" s="2"/>
      <c r="C14" s="2"/>
      <c r="D14" s="2"/>
      <c r="E14" s="2"/>
      <c r="F14" s="2"/>
      <c r="G14" s="2"/>
      <c r="H14" s="2"/>
      <c r="I14" s="2"/>
    </row>
    <row r="15" spans="1:9" s="6" customFormat="1" ht="12.75" customHeight="1" x14ac:dyDescent="0.2">
      <c r="A15" s="24"/>
      <c r="B15" s="1043" t="s">
        <v>75</v>
      </c>
      <c r="C15" s="1044"/>
      <c r="D15" s="1044"/>
      <c r="E15" s="1044"/>
      <c r="F15" s="1044"/>
      <c r="G15" s="1044"/>
      <c r="H15" s="1045"/>
      <c r="I15" s="24"/>
    </row>
    <row r="16" spans="1:9" s="6" customFormat="1" ht="12.75" customHeight="1" x14ac:dyDescent="0.2">
      <c r="A16" s="24"/>
      <c r="B16" s="973" t="s">
        <v>157</v>
      </c>
      <c r="C16" s="974"/>
      <c r="D16" s="974"/>
      <c r="E16" s="974"/>
      <c r="F16" s="975"/>
      <c r="G16" s="422" t="s">
        <v>116</v>
      </c>
      <c r="H16" s="52"/>
      <c r="I16" s="24"/>
    </row>
    <row r="17" spans="1:9" s="6" customFormat="1" ht="12.75" customHeight="1" x14ac:dyDescent="0.2">
      <c r="A17" s="24"/>
      <c r="B17" s="965" t="s">
        <v>158</v>
      </c>
      <c r="C17" s="998"/>
      <c r="D17" s="998"/>
      <c r="E17" s="998"/>
      <c r="F17" s="966"/>
      <c r="G17" s="422" t="s">
        <v>116</v>
      </c>
      <c r="H17" s="52"/>
      <c r="I17" s="24"/>
    </row>
    <row r="18" spans="1:9" s="6" customFormat="1" ht="12.75" customHeight="1" x14ac:dyDescent="0.2">
      <c r="A18" s="24"/>
      <c r="B18" s="965" t="s">
        <v>159</v>
      </c>
      <c r="C18" s="998"/>
      <c r="D18" s="998"/>
      <c r="E18" s="998"/>
      <c r="F18" s="966"/>
      <c r="G18" s="421">
        <v>0</v>
      </c>
      <c r="H18" s="52"/>
      <c r="I18" s="24"/>
    </row>
    <row r="19" spans="1:9" s="6" customFormat="1" ht="12.75" customHeight="1" x14ac:dyDescent="0.2">
      <c r="A19" s="24"/>
      <c r="B19" s="965" t="s">
        <v>176</v>
      </c>
      <c r="C19" s="998"/>
      <c r="D19" s="998"/>
      <c r="E19" s="998"/>
      <c r="F19" s="966"/>
      <c r="G19" s="421">
        <v>0</v>
      </c>
      <c r="H19" s="52"/>
      <c r="I19" s="24"/>
    </row>
    <row r="20" spans="1:9" s="84" customFormat="1" ht="12.75" customHeight="1" x14ac:dyDescent="0.2">
      <c r="A20" s="24"/>
      <c r="B20" s="965" t="s">
        <v>306</v>
      </c>
      <c r="C20" s="998"/>
      <c r="D20" s="998"/>
      <c r="E20" s="998"/>
      <c r="F20" s="966"/>
      <c r="G20" s="421">
        <v>0</v>
      </c>
      <c r="H20" s="52"/>
      <c r="I20" s="24"/>
    </row>
    <row r="21" spans="1:9" s="84" customFormat="1" ht="12.75" customHeight="1" x14ac:dyDescent="0.2">
      <c r="A21" s="24"/>
      <c r="B21" s="965" t="s">
        <v>366</v>
      </c>
      <c r="C21" s="998"/>
      <c r="D21" s="998"/>
      <c r="E21" s="998"/>
      <c r="F21" s="966"/>
      <c r="G21" s="421">
        <v>0</v>
      </c>
      <c r="H21" s="52"/>
      <c r="I21" s="24"/>
    </row>
    <row r="22" spans="1:9" s="84" customFormat="1" ht="12.75" customHeight="1" x14ac:dyDescent="0.2">
      <c r="A22" s="24"/>
      <c r="B22" s="965" t="s">
        <v>367</v>
      </c>
      <c r="C22" s="998"/>
      <c r="D22" s="998"/>
      <c r="E22" s="998"/>
      <c r="F22" s="966"/>
      <c r="G22" s="421">
        <v>0</v>
      </c>
      <c r="H22" s="52"/>
      <c r="I22" s="24"/>
    </row>
    <row r="23" spans="1:9" s="84" customFormat="1" ht="12.75" customHeight="1" x14ac:dyDescent="0.2">
      <c r="A23" s="24"/>
      <c r="B23" s="60"/>
      <c r="C23" s="56"/>
      <c r="D23" s="56"/>
      <c r="E23" s="56"/>
      <c r="F23" s="56"/>
      <c r="G23" s="160"/>
      <c r="H23" s="52"/>
      <c r="I23" s="24"/>
    </row>
    <row r="24" spans="1:9" s="8" customFormat="1" ht="12.75" customHeight="1" x14ac:dyDescent="0.25">
      <c r="A24" s="32"/>
      <c r="B24" s="1084" t="s">
        <v>394</v>
      </c>
      <c r="C24" s="1085"/>
      <c r="D24" s="1085"/>
      <c r="E24" s="1085"/>
      <c r="F24" s="1085"/>
      <c r="G24" s="1085"/>
      <c r="H24" s="1096"/>
      <c r="I24" s="85"/>
    </row>
    <row r="25" spans="1:9" s="6" customFormat="1" ht="12.75" customHeight="1" x14ac:dyDescent="0.2">
      <c r="A25" s="24"/>
      <c r="B25" s="1094" t="s">
        <v>117</v>
      </c>
      <c r="C25" s="1095"/>
      <c r="D25" s="1095"/>
      <c r="E25" s="1095"/>
      <c r="F25" s="1095"/>
      <c r="G25" s="82" t="s">
        <v>156</v>
      </c>
      <c r="H25" s="52"/>
      <c r="I25" s="24"/>
    </row>
    <row r="26" spans="1:9" s="6" customFormat="1" ht="12.75" customHeight="1" x14ac:dyDescent="0.2">
      <c r="A26" s="24"/>
      <c r="B26" s="983" t="str">
        <f>Parametri_DestUsoPersonalizzazione1</f>
        <v>Residenziale</v>
      </c>
      <c r="C26" s="1083"/>
      <c r="D26" s="1083"/>
      <c r="E26" s="1083"/>
      <c r="F26" s="984"/>
      <c r="G26" s="423">
        <v>0</v>
      </c>
      <c r="H26" s="52"/>
      <c r="I26" s="559" t="b">
        <f>IF(AND(selezione_passo_descrizione_intervento="x",selezione_nuova_costruzione="o",selezione_ampliamento="o"),FALSE,TRUE)</f>
        <v>1</v>
      </c>
    </row>
    <row r="27" spans="1:9" s="6" customFormat="1" ht="12.75" customHeight="1" x14ac:dyDescent="0.2">
      <c r="A27" s="24"/>
      <c r="B27" s="988" t="str">
        <f>Parametri_DestUsoPersonalizzazione2</f>
        <v>Commerciale direzionale</v>
      </c>
      <c r="C27" s="1082"/>
      <c r="D27" s="1082"/>
      <c r="E27" s="1082"/>
      <c r="F27" s="989"/>
      <c r="G27" s="419">
        <v>0</v>
      </c>
      <c r="H27" s="52"/>
      <c r="I27" s="24"/>
    </row>
    <row r="28" spans="1:9" s="6" customFormat="1" ht="12.75" customHeight="1" x14ac:dyDescent="0.2">
      <c r="A28" s="24"/>
      <c r="B28" s="988" t="str">
        <f>Parametri_DestUsoPersonalizzazione3</f>
        <v>Industriale artigianale</v>
      </c>
      <c r="C28" s="1082"/>
      <c r="D28" s="1082"/>
      <c r="E28" s="1082"/>
      <c r="F28" s="989"/>
      <c r="G28" s="419">
        <v>0</v>
      </c>
      <c r="H28" s="52"/>
      <c r="I28" s="24"/>
    </row>
    <row r="29" spans="1:9" s="6" customFormat="1" ht="12.75" customHeight="1" x14ac:dyDescent="0.2">
      <c r="A29" s="24"/>
      <c r="B29" s="988" t="str">
        <f>Parametri_DestUsoPersonalizzazione4</f>
        <v xml:space="preserve">Industriale alberghiera </v>
      </c>
      <c r="C29" s="1082"/>
      <c r="D29" s="1082"/>
      <c r="E29" s="1082"/>
      <c r="F29" s="989"/>
      <c r="G29" s="419">
        <v>0</v>
      </c>
      <c r="H29" s="52"/>
      <c r="I29" s="24"/>
    </row>
    <row r="30" spans="1:9" s="6" customFormat="1" ht="12.75" customHeight="1" x14ac:dyDescent="0.2">
      <c r="A30" s="24"/>
      <c r="B30" s="988" t="str">
        <f>Parametri_DestUsoPersonalizzazione5</f>
        <v>Parcheggi, silos (posto auto)</v>
      </c>
      <c r="C30" s="1082"/>
      <c r="D30" s="1082"/>
      <c r="E30" s="1082"/>
      <c r="F30" s="989"/>
      <c r="G30" s="585">
        <v>0</v>
      </c>
      <c r="H30" s="52"/>
      <c r="I30" s="24"/>
    </row>
    <row r="31" spans="1:9" s="6" customFormat="1" ht="12.75" customHeight="1" x14ac:dyDescent="0.2">
      <c r="A31" s="24"/>
      <c r="B31" s="988" t="str">
        <f>Parametri_DestUsoPersonalizzazione6</f>
        <v>Attrezzature culturali e sanitarie</v>
      </c>
      <c r="C31" s="1082"/>
      <c r="D31" s="1082"/>
      <c r="E31" s="1082"/>
      <c r="F31" s="989"/>
      <c r="G31" s="419">
        <v>0</v>
      </c>
      <c r="H31" s="52"/>
      <c r="I31" s="24"/>
    </row>
    <row r="32" spans="1:9" s="6" customFormat="1" ht="12.75" customHeight="1" x14ac:dyDescent="0.2">
      <c r="A32" s="24"/>
      <c r="B32" s="988" t="str">
        <f>Parametri_DestUsoPersonalizzazione7</f>
        <v>Attrezzature sportive</v>
      </c>
      <c r="C32" s="1082"/>
      <c r="D32" s="1082"/>
      <c r="E32" s="1082"/>
      <c r="F32" s="989"/>
      <c r="G32" s="419">
        <v>0</v>
      </c>
      <c r="H32" s="52"/>
      <c r="I32" s="24"/>
    </row>
    <row r="33" spans="1:9" s="6" customFormat="1" ht="12.75" customHeight="1" x14ac:dyDescent="0.2">
      <c r="A33" s="24"/>
      <c r="B33" s="988" t="str">
        <f>Parametri_DestUsoPersonalizzazione8</f>
        <v>Attrezzature spettacolo</v>
      </c>
      <c r="C33" s="1082"/>
      <c r="D33" s="1082"/>
      <c r="E33" s="1082"/>
      <c r="F33" s="989"/>
      <c r="G33" s="419">
        <v>0</v>
      </c>
      <c r="H33" s="52"/>
      <c r="I33" s="24"/>
    </row>
    <row r="34" spans="1:9" s="6" customFormat="1" ht="12.75" customHeight="1" x14ac:dyDescent="0.2">
      <c r="A34" s="24"/>
      <c r="B34" s="988" t="str">
        <f>Parametri_DestUsoPersonalizzazione9</f>
        <v>Destinazione ulteriore 1</v>
      </c>
      <c r="C34" s="1082"/>
      <c r="D34" s="1082"/>
      <c r="E34" s="1082"/>
      <c r="F34" s="989"/>
      <c r="G34" s="419">
        <v>0</v>
      </c>
      <c r="H34" s="52"/>
      <c r="I34" s="24"/>
    </row>
    <row r="35" spans="1:9" s="6" customFormat="1" ht="12.75" customHeight="1" x14ac:dyDescent="0.2">
      <c r="A35" s="24"/>
      <c r="B35" s="988" t="str">
        <f>Parametri_DestUsoPersonalizzazione10</f>
        <v>Destinazione ulteriore 2</v>
      </c>
      <c r="C35" s="1082"/>
      <c r="D35" s="1082"/>
      <c r="E35" s="1082"/>
      <c r="F35" s="989"/>
      <c r="G35" s="419">
        <v>0</v>
      </c>
      <c r="H35" s="52"/>
      <c r="I35" s="24"/>
    </row>
    <row r="36" spans="1:9" s="84" customFormat="1" ht="12.75" customHeight="1" x14ac:dyDescent="0.2">
      <c r="A36" s="24"/>
      <c r="B36" s="988" t="str">
        <f>Parametri_DestUsoPersonalizzazione11</f>
        <v>Destinazione ulteriore 3</v>
      </c>
      <c r="C36" s="1082"/>
      <c r="D36" s="1082"/>
      <c r="E36" s="1082"/>
      <c r="F36" s="989"/>
      <c r="G36" s="419">
        <v>0</v>
      </c>
      <c r="H36" s="52"/>
      <c r="I36" s="24"/>
    </row>
    <row r="37" spans="1:9" s="84" customFormat="1" ht="12.75" customHeight="1" x14ac:dyDescent="0.2">
      <c r="A37" s="24"/>
      <c r="B37" s="988" t="str">
        <f>Parametri_DestUsoPersonalizzazione12</f>
        <v>Destinazione ulteriore 4</v>
      </c>
      <c r="C37" s="1082"/>
      <c r="D37" s="1082"/>
      <c r="E37" s="1082"/>
      <c r="F37" s="989"/>
      <c r="G37" s="419">
        <v>0</v>
      </c>
      <c r="H37" s="52"/>
      <c r="I37" s="24"/>
    </row>
    <row r="38" spans="1:9" s="6" customFormat="1" ht="12.75" customHeight="1" x14ac:dyDescent="0.2">
      <c r="A38" s="24"/>
      <c r="B38" s="988" t="str">
        <f>Parametri_DestUsoPersonalizzazione13</f>
        <v>Destinazione ulteriore 5</v>
      </c>
      <c r="C38" s="1082"/>
      <c r="D38" s="1082"/>
      <c r="E38" s="1082"/>
      <c r="F38" s="989"/>
      <c r="G38" s="419">
        <v>0</v>
      </c>
      <c r="H38" s="52"/>
      <c r="I38" s="24"/>
    </row>
    <row r="39" spans="1:9" s="84" customFormat="1" ht="12.75" customHeight="1" x14ac:dyDescent="0.2">
      <c r="A39" s="24"/>
      <c r="B39" s="60"/>
      <c r="C39" s="81"/>
      <c r="D39" s="81"/>
      <c r="E39" s="81"/>
      <c r="F39" s="81"/>
      <c r="G39" s="110"/>
      <c r="H39" s="52"/>
      <c r="I39" s="24"/>
    </row>
    <row r="40" spans="1:9" s="6" customFormat="1" ht="12.75" customHeight="1" x14ac:dyDescent="0.2">
      <c r="A40" s="24"/>
      <c r="B40" s="1086" t="s">
        <v>181</v>
      </c>
      <c r="C40" s="1087"/>
      <c r="D40" s="1087"/>
      <c r="E40" s="1087"/>
      <c r="F40" s="1087"/>
      <c r="G40" s="1087"/>
      <c r="H40" s="1088"/>
      <c r="I40" s="24"/>
    </row>
    <row r="41" spans="1:9" s="6" customFormat="1" ht="12.75" customHeight="1" x14ac:dyDescent="0.2">
      <c r="A41" s="24"/>
      <c r="B41" s="1104" t="s">
        <v>117</v>
      </c>
      <c r="C41" s="1105"/>
      <c r="D41" s="1105"/>
      <c r="E41" s="1105"/>
      <c r="F41" s="1105"/>
      <c r="G41" s="1105"/>
      <c r="H41" s="1108"/>
      <c r="I41" s="24"/>
    </row>
    <row r="42" spans="1:9" s="6" customFormat="1" ht="12.75" customHeight="1" x14ac:dyDescent="0.2">
      <c r="A42" s="24"/>
      <c r="B42" s="973" t="s">
        <v>1</v>
      </c>
      <c r="C42" s="974"/>
      <c r="D42" s="974"/>
      <c r="E42" s="974"/>
      <c r="F42" s="975"/>
      <c r="G42" s="424">
        <v>0</v>
      </c>
      <c r="H42" s="52"/>
      <c r="I42" s="559" t="b">
        <f>IF(AND(selezione_passo_descrizione_intervento="x",selezione_sottotetti="o"),FALSE,TRUE)</f>
        <v>1</v>
      </c>
    </row>
    <row r="43" spans="1:9" s="84" customFormat="1" ht="12.75" customHeight="1" x14ac:dyDescent="0.2">
      <c r="A43" s="24"/>
      <c r="B43" s="60"/>
      <c r="C43" s="108"/>
      <c r="D43" s="108"/>
      <c r="E43" s="82"/>
      <c r="F43" s="82"/>
      <c r="G43" s="161"/>
      <c r="H43" s="52"/>
      <c r="I43" s="24"/>
    </row>
    <row r="44" spans="1:9" s="84" customFormat="1" ht="12.75" customHeight="1" x14ac:dyDescent="0.2">
      <c r="A44" s="24"/>
      <c r="B44" s="1086" t="s">
        <v>231</v>
      </c>
      <c r="C44" s="1087"/>
      <c r="D44" s="1087"/>
      <c r="E44" s="1087"/>
      <c r="F44" s="1087"/>
      <c r="G44" s="1087"/>
      <c r="H44" s="52"/>
      <c r="I44" s="24"/>
    </row>
    <row r="45" spans="1:9" s="6" customFormat="1" ht="12.75" customHeight="1" x14ac:dyDescent="0.2">
      <c r="A45" s="24"/>
      <c r="B45" s="183"/>
      <c r="C45" s="2"/>
      <c r="D45" s="80"/>
      <c r="E45" s="690" t="s">
        <v>177</v>
      </c>
      <c r="F45" s="690" t="s">
        <v>232</v>
      </c>
      <c r="G45" s="690" t="s">
        <v>386</v>
      </c>
      <c r="H45" s="52"/>
      <c r="I45" s="24"/>
    </row>
    <row r="46" spans="1:9" s="6" customFormat="1" ht="12.75" customHeight="1" x14ac:dyDescent="0.2">
      <c r="A46" s="30"/>
      <c r="B46" s="983" t="str">
        <f>"L'intervento implica una maggiorazione pari a "&amp; Parametri_MaggiorazioneAreeAgric &amp;"%"</f>
        <v>L'intervento implica una maggiorazione pari a 5%</v>
      </c>
      <c r="C46" s="984"/>
      <c r="D46" s="425" t="s">
        <v>92</v>
      </c>
      <c r="E46" s="426">
        <v>0</v>
      </c>
      <c r="F46" s="426">
        <v>0</v>
      </c>
      <c r="G46" s="712">
        <f>IF(ISERROR(Ou_NuovaEd_AreaAgricolaSupAreaAg/Ou_NuovaEd_AreaAgricolaSupLotto),1,(Ou_NuovaEd_AreaAgricolaSupAreaAg/Ou_NuovaEd_AreaAgricolaSupLotto))</f>
        <v>1</v>
      </c>
      <c r="H46" s="75"/>
      <c r="I46" s="30"/>
    </row>
    <row r="47" spans="1:9" s="84" customFormat="1" ht="16.5" customHeight="1" x14ac:dyDescent="0.2">
      <c r="A47" s="30"/>
      <c r="B47" s="157"/>
      <c r="C47"/>
      <c r="D47" s="700" t="s">
        <v>24</v>
      </c>
      <c r="E47" s="701"/>
      <c r="F47" s="700" t="s">
        <v>24</v>
      </c>
      <c r="G47" s="700" t="s">
        <v>24</v>
      </c>
      <c r="H47" s="75"/>
      <c r="I47" s="30"/>
    </row>
    <row r="48" spans="1:9" s="8" customFormat="1" ht="12.75" customHeight="1" x14ac:dyDescent="0.25">
      <c r="A48" s="32"/>
      <c r="B48" s="1084" t="s">
        <v>399</v>
      </c>
      <c r="C48" s="1085"/>
      <c r="D48" s="1085"/>
      <c r="E48" s="1085"/>
      <c r="F48" s="1085"/>
      <c r="G48" s="1085"/>
      <c r="H48" s="699" t="s">
        <v>24</v>
      </c>
      <c r="I48" s="85"/>
    </row>
    <row r="49" spans="1:9" s="6" customFormat="1" ht="12.75" customHeight="1" x14ac:dyDescent="0.2">
      <c r="A49" s="24"/>
      <c r="B49" s="1094" t="s">
        <v>117</v>
      </c>
      <c r="C49" s="1095"/>
      <c r="D49" s="81"/>
      <c r="E49" s="81"/>
      <c r="F49" s="81"/>
      <c r="G49" s="83" t="s">
        <v>156</v>
      </c>
      <c r="H49" s="52"/>
      <c r="I49" s="24"/>
    </row>
    <row r="50" spans="1:9" s="6" customFormat="1" ht="12.75" customHeight="1" x14ac:dyDescent="0.2">
      <c r="A50" s="24"/>
      <c r="B50" s="983" t="str">
        <f>Parametri_DestUsoPersonalizzazione1</f>
        <v>Residenziale</v>
      </c>
      <c r="C50" s="984"/>
      <c r="D50" s="1359"/>
      <c r="E50" s="1357"/>
      <c r="F50" s="1354"/>
      <c r="G50" s="1352">
        <v>0</v>
      </c>
      <c r="H50" s="52"/>
      <c r="I50" s="559" t="b">
        <f>IF(AND(selezione_passo_descrizione_intervento="x",selezione_ristrutturazione="o"),FALSE,TRUE)</f>
        <v>1</v>
      </c>
    </row>
    <row r="51" spans="1:9" s="6" customFormat="1" ht="12.75" customHeight="1" x14ac:dyDescent="0.2">
      <c r="A51" s="24"/>
      <c r="B51" s="988" t="str">
        <f>Parametri_DestUsoPersonalizzazione2</f>
        <v>Commerciale direzionale</v>
      </c>
      <c r="C51" s="989"/>
      <c r="D51" s="1360"/>
      <c r="E51" s="1358"/>
      <c r="F51" s="1355"/>
      <c r="G51" s="1353">
        <v>0</v>
      </c>
      <c r="H51" s="52"/>
      <c r="I51" s="24"/>
    </row>
    <row r="52" spans="1:9" s="6" customFormat="1" ht="12.75" customHeight="1" x14ac:dyDescent="0.2">
      <c r="A52" s="24"/>
      <c r="B52" s="988" t="str">
        <f>Parametri_DestUsoPersonalizzazione3</f>
        <v>Industriale artigianale</v>
      </c>
      <c r="C52" s="989"/>
      <c r="D52" s="1361"/>
      <c r="E52" s="1358"/>
      <c r="F52" s="1355"/>
      <c r="G52" s="1353">
        <v>0</v>
      </c>
      <c r="H52" s="52"/>
      <c r="I52" s="24"/>
    </row>
    <row r="53" spans="1:9" s="6" customFormat="1" ht="12.75" customHeight="1" x14ac:dyDescent="0.2">
      <c r="A53" s="24"/>
      <c r="B53" s="988" t="str">
        <f>Parametri_DestUsoPersonalizzazione4</f>
        <v xml:space="preserve">Industriale alberghiera </v>
      </c>
      <c r="C53" s="989"/>
      <c r="D53" s="1360"/>
      <c r="E53" s="1358"/>
      <c r="F53" s="1356"/>
      <c r="G53" s="1353">
        <v>0</v>
      </c>
      <c r="H53" s="52"/>
      <c r="I53" s="24"/>
    </row>
    <row r="54" spans="1:9" s="6" customFormat="1" ht="12.75" customHeight="1" x14ac:dyDescent="0.2">
      <c r="A54" s="24"/>
      <c r="B54" s="988" t="str">
        <f>Parametri_DestUsoPersonalizzazione5</f>
        <v>Parcheggi, silos (posto auto)</v>
      </c>
      <c r="C54" s="989"/>
      <c r="D54" s="1362"/>
      <c r="E54" s="1358"/>
      <c r="F54" s="1356"/>
      <c r="G54" s="1353">
        <v>0</v>
      </c>
      <c r="H54" s="52"/>
      <c r="I54" s="24"/>
    </row>
    <row r="55" spans="1:9" s="6" customFormat="1" ht="12.75" customHeight="1" x14ac:dyDescent="0.2">
      <c r="A55" s="24"/>
      <c r="B55" s="988" t="str">
        <f>Parametri_DestUsoPersonalizzazione6</f>
        <v>Attrezzature culturali e sanitarie</v>
      </c>
      <c r="C55" s="989"/>
      <c r="D55" s="1360"/>
      <c r="E55" s="1358"/>
      <c r="F55" s="1356"/>
      <c r="G55" s="1353">
        <v>0</v>
      </c>
      <c r="H55" s="52"/>
      <c r="I55" s="24"/>
    </row>
    <row r="56" spans="1:9" s="6" customFormat="1" ht="12.75" customHeight="1" x14ac:dyDescent="0.2">
      <c r="A56" s="24"/>
      <c r="B56" s="988" t="str">
        <f>Parametri_DestUsoPersonalizzazione7</f>
        <v>Attrezzature sportive</v>
      </c>
      <c r="C56" s="989"/>
      <c r="D56" s="1361"/>
      <c r="E56" s="1358"/>
      <c r="F56" s="1356"/>
      <c r="G56" s="1353">
        <v>0</v>
      </c>
      <c r="H56" s="52"/>
      <c r="I56" s="24"/>
    </row>
    <row r="57" spans="1:9" s="6" customFormat="1" ht="12.75" customHeight="1" x14ac:dyDescent="0.2">
      <c r="A57" s="24"/>
      <c r="B57" s="988" t="str">
        <f>Parametri_DestUsoPersonalizzazione8</f>
        <v>Attrezzature spettacolo</v>
      </c>
      <c r="C57" s="989"/>
      <c r="D57" s="1360"/>
      <c r="E57" s="1358"/>
      <c r="F57" s="1356"/>
      <c r="G57" s="1353">
        <v>0</v>
      </c>
      <c r="H57" s="52"/>
      <c r="I57" s="24"/>
    </row>
    <row r="58" spans="1:9" s="6" customFormat="1" ht="12.75" customHeight="1" x14ac:dyDescent="0.2">
      <c r="A58" s="24"/>
      <c r="B58" s="988" t="str">
        <f>Parametri_DestUsoPersonalizzazione9</f>
        <v>Destinazione ulteriore 1</v>
      </c>
      <c r="C58" s="989"/>
      <c r="D58" s="1361"/>
      <c r="E58" s="1358"/>
      <c r="F58" s="1356"/>
      <c r="G58" s="1353">
        <v>0</v>
      </c>
      <c r="H58" s="52"/>
      <c r="I58" s="24"/>
    </row>
    <row r="59" spans="1:9" s="6" customFormat="1" ht="12.75" customHeight="1" x14ac:dyDescent="0.2">
      <c r="A59" s="24"/>
      <c r="B59" s="988" t="str">
        <f>Parametri_DestUsoPersonalizzazione10</f>
        <v>Destinazione ulteriore 2</v>
      </c>
      <c r="C59" s="989"/>
      <c r="D59" s="1360"/>
      <c r="E59" s="1358"/>
      <c r="F59" s="1356"/>
      <c r="G59" s="1353">
        <v>0</v>
      </c>
      <c r="H59" s="52"/>
      <c r="I59" s="24"/>
    </row>
    <row r="60" spans="1:9" s="84" customFormat="1" ht="12.75" customHeight="1" x14ac:dyDescent="0.2">
      <c r="A60" s="24"/>
      <c r="B60" s="988" t="str">
        <f>Parametri_DestUsoPersonalizzazione11</f>
        <v>Destinazione ulteriore 3</v>
      </c>
      <c r="C60" s="989"/>
      <c r="D60" s="1361"/>
      <c r="E60" s="1358"/>
      <c r="F60" s="1356"/>
      <c r="G60" s="1353">
        <v>0</v>
      </c>
      <c r="H60" s="52"/>
      <c r="I60" s="24"/>
    </row>
    <row r="61" spans="1:9" s="84" customFormat="1" ht="12.75" customHeight="1" x14ac:dyDescent="0.2">
      <c r="A61" s="24"/>
      <c r="B61" s="988" t="str">
        <f>Parametri_DestUsoPersonalizzazione12</f>
        <v>Destinazione ulteriore 4</v>
      </c>
      <c r="C61" s="989"/>
      <c r="D61" s="1360"/>
      <c r="E61" s="1358"/>
      <c r="F61" s="1356"/>
      <c r="G61" s="1353">
        <v>0</v>
      </c>
      <c r="H61" s="52"/>
      <c r="I61" s="24"/>
    </row>
    <row r="62" spans="1:9" s="6" customFormat="1" ht="12.75" customHeight="1" x14ac:dyDescent="0.2">
      <c r="A62" s="24"/>
      <c r="B62" s="988" t="str">
        <f>Parametri_DestUsoPersonalizzazione13</f>
        <v>Destinazione ulteriore 5</v>
      </c>
      <c r="C62" s="989"/>
      <c r="D62" s="1361"/>
      <c r="E62" s="1358"/>
      <c r="F62" s="1356"/>
      <c r="G62" s="1353">
        <v>0</v>
      </c>
      <c r="H62" s="52"/>
      <c r="I62" s="24"/>
    </row>
    <row r="63" spans="1:9" s="84" customFormat="1" ht="12.75" customHeight="1" x14ac:dyDescent="0.2">
      <c r="A63" s="24"/>
      <c r="B63" s="860"/>
      <c r="C63" s="861"/>
      <c r="D63" s="862"/>
      <c r="E63" s="863"/>
      <c r="F63" s="864"/>
      <c r="G63" s="865"/>
      <c r="H63" s="52"/>
      <c r="I63" s="24"/>
    </row>
    <row r="64" spans="1:9" s="8" customFormat="1" ht="12.75" customHeight="1" x14ac:dyDescent="0.25">
      <c r="A64" s="85"/>
      <c r="B64" s="1084" t="s">
        <v>400</v>
      </c>
      <c r="C64" s="1085"/>
      <c r="D64" s="1085"/>
      <c r="E64" s="1085"/>
      <c r="F64" s="1085"/>
      <c r="G64" s="1085"/>
      <c r="H64" s="699" t="s">
        <v>24</v>
      </c>
      <c r="I64" s="85"/>
    </row>
    <row r="65" spans="1:9" s="84" customFormat="1" ht="12.75" customHeight="1" x14ac:dyDescent="0.2">
      <c r="A65" s="24"/>
      <c r="B65" s="1094" t="s">
        <v>117</v>
      </c>
      <c r="C65" s="1095"/>
      <c r="D65" s="81"/>
      <c r="E65" s="81"/>
      <c r="F65" s="81"/>
      <c r="G65" s="83" t="s">
        <v>156</v>
      </c>
      <c r="H65" s="52"/>
      <c r="I65" s="24"/>
    </row>
    <row r="66" spans="1:9" s="84" customFormat="1" ht="12.75" customHeight="1" x14ac:dyDescent="0.2">
      <c r="A66" s="24"/>
      <c r="B66" s="983" t="str">
        <f>Parametri_DestUsoPersonalizzazione1</f>
        <v>Residenziale</v>
      </c>
      <c r="C66" s="984"/>
      <c r="D66" s="1359"/>
      <c r="E66" s="1357"/>
      <c r="F66" s="1354"/>
      <c r="G66" s="1352">
        <v>0</v>
      </c>
      <c r="H66" s="52"/>
      <c r="I66" s="559" t="b">
        <f>IF(AND(selezione_passo_descrizione_intervento="x",selezione_ristrutturazione="o"),FALSE,TRUE)</f>
        <v>1</v>
      </c>
    </row>
    <row r="67" spans="1:9" s="84" customFormat="1" ht="12.75" customHeight="1" x14ac:dyDescent="0.2">
      <c r="A67" s="24"/>
      <c r="B67" s="988" t="str">
        <f>Parametri_DestUsoPersonalizzazione2</f>
        <v>Commerciale direzionale</v>
      </c>
      <c r="C67" s="989"/>
      <c r="D67" s="1360"/>
      <c r="E67" s="1358"/>
      <c r="F67" s="1355"/>
      <c r="G67" s="1353">
        <v>0</v>
      </c>
      <c r="H67" s="52"/>
      <c r="I67" s="24"/>
    </row>
    <row r="68" spans="1:9" s="84" customFormat="1" ht="12.75" customHeight="1" x14ac:dyDescent="0.2">
      <c r="A68" s="24"/>
      <c r="B68" s="988" t="str">
        <f>Parametri_DestUsoPersonalizzazione3</f>
        <v>Industriale artigianale</v>
      </c>
      <c r="C68" s="989"/>
      <c r="D68" s="1361"/>
      <c r="E68" s="1358"/>
      <c r="F68" s="1355"/>
      <c r="G68" s="1353">
        <v>0</v>
      </c>
      <c r="H68" s="52"/>
      <c r="I68" s="24"/>
    </row>
    <row r="69" spans="1:9" s="84" customFormat="1" ht="12.75" customHeight="1" x14ac:dyDescent="0.2">
      <c r="A69" s="24"/>
      <c r="B69" s="988" t="str">
        <f>Parametri_DestUsoPersonalizzazione4</f>
        <v xml:space="preserve">Industriale alberghiera </v>
      </c>
      <c r="C69" s="989"/>
      <c r="D69" s="1360"/>
      <c r="E69" s="1358"/>
      <c r="F69" s="1356"/>
      <c r="G69" s="1353">
        <v>0</v>
      </c>
      <c r="H69" s="52"/>
      <c r="I69" s="24"/>
    </row>
    <row r="70" spans="1:9" s="84" customFormat="1" ht="12.75" customHeight="1" x14ac:dyDescent="0.2">
      <c r="A70" s="24"/>
      <c r="B70" s="988" t="str">
        <f>Parametri_DestUsoPersonalizzazione5</f>
        <v>Parcheggi, silos (posto auto)</v>
      </c>
      <c r="C70" s="989"/>
      <c r="D70" s="1362"/>
      <c r="E70" s="1358"/>
      <c r="F70" s="1356"/>
      <c r="G70" s="1353">
        <v>0</v>
      </c>
      <c r="H70" s="52"/>
      <c r="I70" s="24"/>
    </row>
    <row r="71" spans="1:9" s="84" customFormat="1" ht="12.75" customHeight="1" x14ac:dyDescent="0.2">
      <c r="A71" s="24"/>
      <c r="B71" s="988" t="str">
        <f>Parametri_DestUsoPersonalizzazione6</f>
        <v>Attrezzature culturali e sanitarie</v>
      </c>
      <c r="C71" s="989"/>
      <c r="D71" s="1360"/>
      <c r="E71" s="1358"/>
      <c r="F71" s="1356"/>
      <c r="G71" s="1353">
        <v>0</v>
      </c>
      <c r="H71" s="52"/>
      <c r="I71" s="24"/>
    </row>
    <row r="72" spans="1:9" s="84" customFormat="1" ht="12.75" customHeight="1" x14ac:dyDescent="0.2">
      <c r="A72" s="24"/>
      <c r="B72" s="988" t="str">
        <f>Parametri_DestUsoPersonalizzazione7</f>
        <v>Attrezzature sportive</v>
      </c>
      <c r="C72" s="989"/>
      <c r="D72" s="1361"/>
      <c r="E72" s="1358"/>
      <c r="F72" s="1356"/>
      <c r="G72" s="1353">
        <v>0</v>
      </c>
      <c r="H72" s="52"/>
      <c r="I72" s="24"/>
    </row>
    <row r="73" spans="1:9" s="84" customFormat="1" ht="12.75" customHeight="1" x14ac:dyDescent="0.2">
      <c r="A73" s="24"/>
      <c r="B73" s="988" t="str">
        <f>Parametri_DestUsoPersonalizzazione8</f>
        <v>Attrezzature spettacolo</v>
      </c>
      <c r="C73" s="989"/>
      <c r="D73" s="1360"/>
      <c r="E73" s="1358"/>
      <c r="F73" s="1356"/>
      <c r="G73" s="1353">
        <v>0</v>
      </c>
      <c r="H73" s="52"/>
      <c r="I73" s="24"/>
    </row>
    <row r="74" spans="1:9" s="84" customFormat="1" ht="12.75" customHeight="1" x14ac:dyDescent="0.2">
      <c r="A74" s="24"/>
      <c r="B74" s="988" t="str">
        <f>Parametri_DestUsoPersonalizzazione9</f>
        <v>Destinazione ulteriore 1</v>
      </c>
      <c r="C74" s="989"/>
      <c r="D74" s="1361"/>
      <c r="E74" s="1358"/>
      <c r="F74" s="1356"/>
      <c r="G74" s="1353">
        <v>0</v>
      </c>
      <c r="H74" s="52"/>
      <c r="I74" s="24"/>
    </row>
    <row r="75" spans="1:9" s="84" customFormat="1" ht="12.75" customHeight="1" x14ac:dyDescent="0.2">
      <c r="A75" s="24"/>
      <c r="B75" s="988" t="str">
        <f>Parametri_DestUsoPersonalizzazione10</f>
        <v>Destinazione ulteriore 2</v>
      </c>
      <c r="C75" s="989"/>
      <c r="D75" s="1360"/>
      <c r="E75" s="1358"/>
      <c r="F75" s="1356"/>
      <c r="G75" s="1353">
        <v>0</v>
      </c>
      <c r="H75" s="52"/>
      <c r="I75" s="24"/>
    </row>
    <row r="76" spans="1:9" s="84" customFormat="1" ht="12.75" customHeight="1" x14ac:dyDescent="0.2">
      <c r="A76" s="24"/>
      <c r="B76" s="988" t="str">
        <f>Parametri_DestUsoPersonalizzazione11</f>
        <v>Destinazione ulteriore 3</v>
      </c>
      <c r="C76" s="989"/>
      <c r="D76" s="1361"/>
      <c r="E76" s="1358"/>
      <c r="F76" s="1356"/>
      <c r="G76" s="1353">
        <v>0</v>
      </c>
      <c r="H76" s="52"/>
      <c r="I76" s="24"/>
    </row>
    <row r="77" spans="1:9" s="84" customFormat="1" ht="12.75" customHeight="1" x14ac:dyDescent="0.2">
      <c r="A77" s="24"/>
      <c r="B77" s="988" t="str">
        <f>Parametri_DestUsoPersonalizzazione12</f>
        <v>Destinazione ulteriore 4</v>
      </c>
      <c r="C77" s="989"/>
      <c r="D77" s="1360"/>
      <c r="E77" s="1358"/>
      <c r="F77" s="1356"/>
      <c r="G77" s="1353">
        <v>0</v>
      </c>
      <c r="H77" s="52"/>
      <c r="I77" s="24"/>
    </row>
    <row r="78" spans="1:9" s="84" customFormat="1" ht="12.75" customHeight="1" x14ac:dyDescent="0.2">
      <c r="A78" s="24"/>
      <c r="B78" s="988" t="str">
        <f>Parametri_DestUsoPersonalizzazione13</f>
        <v>Destinazione ulteriore 5</v>
      </c>
      <c r="C78" s="989"/>
      <c r="D78" s="1361"/>
      <c r="E78" s="1358"/>
      <c r="F78" s="1356"/>
      <c r="G78" s="1353">
        <v>0</v>
      </c>
      <c r="H78" s="52"/>
      <c r="I78" s="24"/>
    </row>
    <row r="79" spans="1:9" s="84" customFormat="1" ht="12.75" customHeight="1" x14ac:dyDescent="0.2">
      <c r="A79" s="24"/>
      <c r="B79" s="60"/>
      <c r="C79" s="81"/>
      <c r="D79" s="158"/>
      <c r="E79" s="109"/>
      <c r="F79" s="159"/>
      <c r="G79" s="110"/>
      <c r="H79" s="52"/>
      <c r="I79" s="24"/>
    </row>
    <row r="80" spans="1:9" s="8" customFormat="1" ht="12.75" customHeight="1" x14ac:dyDescent="0.25">
      <c r="A80" s="32"/>
      <c r="B80" s="1084" t="s">
        <v>395</v>
      </c>
      <c r="C80" s="1085"/>
      <c r="D80" s="1085"/>
      <c r="E80" s="1085"/>
      <c r="F80" s="1085"/>
      <c r="G80" s="1085"/>
      <c r="H80" s="1096"/>
      <c r="I80" s="85"/>
    </row>
    <row r="81" spans="1:9" s="6" customFormat="1" ht="12.75" customHeight="1" x14ac:dyDescent="0.2">
      <c r="A81" s="24"/>
      <c r="B81" s="1104" t="s">
        <v>117</v>
      </c>
      <c r="C81" s="1105"/>
      <c r="D81" s="1105"/>
      <c r="E81" s="1105"/>
      <c r="F81" s="82" t="s">
        <v>179</v>
      </c>
      <c r="G81" s="83" t="s">
        <v>178</v>
      </c>
      <c r="H81" s="52"/>
      <c r="I81" s="24"/>
    </row>
    <row r="82" spans="1:9" s="6" customFormat="1" ht="12.75" customHeight="1" x14ac:dyDescent="0.2">
      <c r="A82" s="24"/>
      <c r="B82" s="983" t="str">
        <f>Parametri_DestUsoPersonalizzazione1</f>
        <v>Residenziale</v>
      </c>
      <c r="C82" s="1083"/>
      <c r="D82" s="1083"/>
      <c r="E82" s="984"/>
      <c r="F82" s="423">
        <v>0</v>
      </c>
      <c r="G82" s="427">
        <v>0</v>
      </c>
      <c r="H82" s="52"/>
      <c r="I82" s="559" t="b">
        <f>IF(AND(selezione_passo_descrizione_intervento="x",selezione_cambio_uso="o"),FALSE,TRUE)</f>
        <v>1</v>
      </c>
    </row>
    <row r="83" spans="1:9" s="6" customFormat="1" ht="12.75" customHeight="1" x14ac:dyDescent="0.2">
      <c r="A83" s="24"/>
      <c r="B83" s="988" t="str">
        <f>Parametri_DestUsoPersonalizzazione2</f>
        <v>Commerciale direzionale</v>
      </c>
      <c r="C83" s="1082"/>
      <c r="D83" s="1082"/>
      <c r="E83" s="989"/>
      <c r="F83" s="419">
        <v>0</v>
      </c>
      <c r="G83" s="426">
        <v>0</v>
      </c>
      <c r="H83" s="52"/>
      <c r="I83" s="24"/>
    </row>
    <row r="84" spans="1:9" s="6" customFormat="1" ht="12.75" customHeight="1" x14ac:dyDescent="0.2">
      <c r="A84" s="24"/>
      <c r="B84" s="988" t="str">
        <f>Parametri_DestUsoPersonalizzazione3</f>
        <v>Industriale artigianale</v>
      </c>
      <c r="C84" s="1082"/>
      <c r="D84" s="1082"/>
      <c r="E84" s="989"/>
      <c r="F84" s="419">
        <v>0</v>
      </c>
      <c r="G84" s="426">
        <v>0</v>
      </c>
      <c r="H84" s="52"/>
      <c r="I84" s="24"/>
    </row>
    <row r="85" spans="1:9" s="6" customFormat="1" ht="12.75" customHeight="1" x14ac:dyDescent="0.2">
      <c r="A85" s="24"/>
      <c r="B85" s="988" t="str">
        <f>Parametri_DestUsoPersonalizzazione4</f>
        <v xml:space="preserve">Industriale alberghiera </v>
      </c>
      <c r="C85" s="1082"/>
      <c r="D85" s="1082"/>
      <c r="E85" s="989"/>
      <c r="F85" s="419">
        <v>0</v>
      </c>
      <c r="G85" s="426">
        <v>0</v>
      </c>
      <c r="H85" s="52"/>
      <c r="I85" s="24"/>
    </row>
    <row r="86" spans="1:9" s="6" customFormat="1" ht="12.75" customHeight="1" x14ac:dyDescent="0.2">
      <c r="A86" s="24"/>
      <c r="B86" s="988" t="str">
        <f>Parametri_DestUsoPersonalizzazione5</f>
        <v>Parcheggi, silos (posto auto)</v>
      </c>
      <c r="C86" s="1082"/>
      <c r="D86" s="1082"/>
      <c r="E86" s="989"/>
      <c r="F86" s="585">
        <v>0</v>
      </c>
      <c r="G86" s="586">
        <v>0</v>
      </c>
      <c r="H86" s="52"/>
      <c r="I86" s="24"/>
    </row>
    <row r="87" spans="1:9" s="6" customFormat="1" ht="12.75" customHeight="1" x14ac:dyDescent="0.2">
      <c r="A87" s="24"/>
      <c r="B87" s="988" t="str">
        <f>Parametri_DestUsoPersonalizzazione6</f>
        <v>Attrezzature culturali e sanitarie</v>
      </c>
      <c r="C87" s="1082"/>
      <c r="D87" s="1082"/>
      <c r="E87" s="989"/>
      <c r="F87" s="419">
        <v>0</v>
      </c>
      <c r="G87" s="426">
        <v>0</v>
      </c>
      <c r="H87" s="52"/>
      <c r="I87" s="24"/>
    </row>
    <row r="88" spans="1:9" s="6" customFormat="1" ht="12.75" customHeight="1" x14ac:dyDescent="0.2">
      <c r="A88" s="24"/>
      <c r="B88" s="988" t="str">
        <f>Parametri_DestUsoPersonalizzazione7</f>
        <v>Attrezzature sportive</v>
      </c>
      <c r="C88" s="1082"/>
      <c r="D88" s="1082"/>
      <c r="E88" s="989"/>
      <c r="F88" s="419">
        <v>0</v>
      </c>
      <c r="G88" s="426">
        <v>0</v>
      </c>
      <c r="H88" s="52"/>
      <c r="I88" s="24"/>
    </row>
    <row r="89" spans="1:9" s="6" customFormat="1" ht="12.75" customHeight="1" x14ac:dyDescent="0.2">
      <c r="A89" s="24"/>
      <c r="B89" s="988" t="str">
        <f>Parametri_DestUsoPersonalizzazione8</f>
        <v>Attrezzature spettacolo</v>
      </c>
      <c r="C89" s="1082"/>
      <c r="D89" s="1082"/>
      <c r="E89" s="989"/>
      <c r="F89" s="419">
        <v>0</v>
      </c>
      <c r="G89" s="426">
        <v>0</v>
      </c>
      <c r="H89" s="52"/>
      <c r="I89" s="24"/>
    </row>
    <row r="90" spans="1:9" s="6" customFormat="1" ht="12.75" customHeight="1" x14ac:dyDescent="0.2">
      <c r="A90" s="24"/>
      <c r="B90" s="988" t="str">
        <f>Parametri_DestUsoPersonalizzazione9</f>
        <v>Destinazione ulteriore 1</v>
      </c>
      <c r="C90" s="1082"/>
      <c r="D90" s="1082"/>
      <c r="E90" s="989"/>
      <c r="F90" s="419">
        <v>0</v>
      </c>
      <c r="G90" s="426">
        <v>0</v>
      </c>
      <c r="H90" s="52"/>
      <c r="I90" s="24"/>
    </row>
    <row r="91" spans="1:9" s="6" customFormat="1" ht="12.75" customHeight="1" x14ac:dyDescent="0.2">
      <c r="A91" s="24"/>
      <c r="B91" s="988" t="str">
        <f>Parametri_DestUsoPersonalizzazione10</f>
        <v>Destinazione ulteriore 2</v>
      </c>
      <c r="C91" s="1082"/>
      <c r="D91" s="1082"/>
      <c r="E91" s="989"/>
      <c r="F91" s="419">
        <v>0</v>
      </c>
      <c r="G91" s="426">
        <v>0</v>
      </c>
      <c r="H91" s="52"/>
      <c r="I91" s="24"/>
    </row>
    <row r="92" spans="1:9" s="6" customFormat="1" ht="12.75" customHeight="1" x14ac:dyDescent="0.2">
      <c r="A92" s="24"/>
      <c r="B92" s="988" t="str">
        <f>Parametri_DestUsoPersonalizzazione11</f>
        <v>Destinazione ulteriore 3</v>
      </c>
      <c r="C92" s="1082"/>
      <c r="D92" s="1082"/>
      <c r="E92" s="989"/>
      <c r="F92" s="419">
        <v>0</v>
      </c>
      <c r="G92" s="426">
        <v>0</v>
      </c>
      <c r="H92" s="52"/>
      <c r="I92" s="24"/>
    </row>
    <row r="93" spans="1:9" s="84" customFormat="1" ht="12.75" customHeight="1" x14ac:dyDescent="0.2">
      <c r="A93" s="24"/>
      <c r="B93" s="988" t="str">
        <f>Parametri_DestUsoPersonalizzazione12</f>
        <v>Destinazione ulteriore 4</v>
      </c>
      <c r="C93" s="1082"/>
      <c r="D93" s="1082"/>
      <c r="E93" s="989"/>
      <c r="F93" s="419">
        <v>0</v>
      </c>
      <c r="G93" s="426">
        <v>0</v>
      </c>
      <c r="H93" s="52"/>
      <c r="I93" s="24"/>
    </row>
    <row r="94" spans="1:9" s="84" customFormat="1" ht="12.75" customHeight="1" x14ac:dyDescent="0.2">
      <c r="A94" s="24"/>
      <c r="B94" s="988" t="str">
        <f>Parametri_DestUsoPersonalizzazione13</f>
        <v>Destinazione ulteriore 5</v>
      </c>
      <c r="C94" s="1082"/>
      <c r="D94" s="1082"/>
      <c r="E94" s="989"/>
      <c r="F94" s="419">
        <v>0</v>
      </c>
      <c r="G94" s="426">
        <v>0</v>
      </c>
      <c r="H94" s="52"/>
      <c r="I94" s="24"/>
    </row>
    <row r="95" spans="1:9" s="6" customFormat="1" ht="12.75" customHeight="1" thickBot="1" x14ac:dyDescent="0.25">
      <c r="A95" s="24"/>
      <c r="B95" s="74"/>
      <c r="C95" s="67"/>
      <c r="D95" s="67"/>
      <c r="E95" s="67"/>
      <c r="F95" s="67"/>
      <c r="G95" s="67"/>
      <c r="H95" s="61"/>
      <c r="I95" s="24"/>
    </row>
    <row r="96" spans="1:9" s="6" customFormat="1" ht="12.75" customHeight="1" thickBot="1" x14ac:dyDescent="0.25">
      <c r="A96" s="24"/>
      <c r="B96" s="2"/>
      <c r="C96" s="2"/>
      <c r="D96" s="2"/>
      <c r="E96" s="2"/>
      <c r="F96" s="2"/>
      <c r="G96" s="2"/>
      <c r="H96" s="2"/>
      <c r="I96" s="2"/>
    </row>
    <row r="97" spans="1:250" s="8" customFormat="1" ht="12.75" customHeight="1" x14ac:dyDescent="0.2">
      <c r="A97" s="32"/>
      <c r="B97" s="980" t="s">
        <v>377</v>
      </c>
      <c r="C97" s="981"/>
      <c r="D97" s="981"/>
      <c r="E97" s="981"/>
      <c r="F97" s="981"/>
      <c r="G97" s="981"/>
      <c r="H97" s="982"/>
      <c r="I97" s="85"/>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row>
    <row r="98" spans="1:250" s="6" customFormat="1" ht="12.75" customHeight="1" x14ac:dyDescent="0.2">
      <c r="A98" s="24"/>
      <c r="B98" s="1081" t="s">
        <v>182</v>
      </c>
      <c r="C98" s="1097"/>
      <c r="D98" s="1097"/>
      <c r="E98" s="1097"/>
      <c r="F98" s="1098"/>
      <c r="G98" s="1102"/>
      <c r="H98" s="52"/>
      <c r="I98" s="24"/>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row>
    <row r="99" spans="1:250" s="84" customFormat="1" ht="12.75" customHeight="1" x14ac:dyDescent="0.2">
      <c r="A99" s="24"/>
      <c r="B99" s="1099" t="str">
        <f>IF(ZonaMonetizzazioneAreeStand&lt;&gt;"",(VLOOKUP(ZonaMonetizzazioneAreeStand,Parametri_ElencoZoneMatrice,2,FALSE)),"")</f>
        <v/>
      </c>
      <c r="C99" s="1100"/>
      <c r="D99" s="1100"/>
      <c r="E99" s="1100"/>
      <c r="F99" s="1101"/>
      <c r="G99" s="1103"/>
      <c r="H99" s="52"/>
      <c r="I99" s="24"/>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row>
    <row r="100" spans="1:250" s="6" customFormat="1" ht="12.75" customHeight="1" x14ac:dyDescent="0.2">
      <c r="A100" s="24"/>
      <c r="B100" s="965" t="s">
        <v>96</v>
      </c>
      <c r="C100" s="998"/>
      <c r="D100" s="998"/>
      <c r="E100" s="998"/>
      <c r="F100" s="966"/>
      <c r="G100" s="428">
        <v>0</v>
      </c>
      <c r="H100" s="52"/>
      <c r="I100" s="24"/>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row>
    <row r="101" spans="1:250" s="6" customFormat="1" ht="12.75" customHeight="1" thickBot="1" x14ac:dyDescent="0.25">
      <c r="A101" s="24"/>
      <c r="B101" s="74"/>
      <c r="C101" s="67"/>
      <c r="D101" s="67"/>
      <c r="E101" s="67"/>
      <c r="F101" s="67"/>
      <c r="G101" s="67"/>
      <c r="H101" s="61"/>
      <c r="I101" s="24"/>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row>
    <row r="102" spans="1:250" s="46" customFormat="1" ht="12.75" customHeight="1" thickBot="1" x14ac:dyDescent="0.25">
      <c r="A102" s="47"/>
      <c r="B102" s="2"/>
      <c r="C102" s="2"/>
      <c r="D102" s="2"/>
      <c r="E102" s="2"/>
      <c r="F102" s="2"/>
      <c r="G102" s="2"/>
      <c r="H102" s="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row>
    <row r="103" spans="1:250" s="6" customFormat="1" ht="12.75" customHeight="1" x14ac:dyDescent="0.2">
      <c r="A103" s="32"/>
      <c r="B103" s="980" t="s">
        <v>180</v>
      </c>
      <c r="C103" s="981"/>
      <c r="D103" s="981"/>
      <c r="E103" s="981"/>
      <c r="F103" s="981"/>
      <c r="G103" s="981"/>
      <c r="H103" s="982"/>
      <c r="I103" s="85"/>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row>
    <row r="104" spans="1:250" s="6" customFormat="1" ht="12.75" customHeight="1" x14ac:dyDescent="0.2">
      <c r="A104" s="24"/>
      <c r="B104" s="1081" t="s">
        <v>182</v>
      </c>
      <c r="C104" s="1097"/>
      <c r="D104" s="1097"/>
      <c r="E104" s="1097"/>
      <c r="F104" s="1098"/>
      <c r="G104" s="1089"/>
      <c r="H104" s="52"/>
      <c r="I104" s="2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row>
    <row r="105" spans="1:250" s="84" customFormat="1" ht="12.75" customHeight="1" x14ac:dyDescent="0.2">
      <c r="A105" s="24"/>
      <c r="B105" s="1099" t="str">
        <f>IF(ZonaMonetizzazioneParcheg&lt;&gt;"",(VLOOKUP(ZonaMonetizzazioneParcheg,Parametri_ElencoZoneParcheggiMatrice,2,FALSE)),"")</f>
        <v/>
      </c>
      <c r="C105" s="1100"/>
      <c r="D105" s="1100"/>
      <c r="E105" s="1100"/>
      <c r="F105" s="1101"/>
      <c r="G105" s="1090"/>
      <c r="H105" s="52"/>
      <c r="I105" s="24"/>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row>
    <row r="106" spans="1:250" s="8" customFormat="1" ht="12.75" customHeight="1" x14ac:dyDescent="0.2">
      <c r="A106" s="24"/>
      <c r="B106" s="965" t="s">
        <v>96</v>
      </c>
      <c r="C106" s="998"/>
      <c r="D106" s="998"/>
      <c r="E106" s="998"/>
      <c r="F106" s="966"/>
      <c r="G106" s="429">
        <v>0</v>
      </c>
      <c r="H106" s="52"/>
      <c r="I106" s="24"/>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row>
    <row r="107" spans="1:250" s="6" customFormat="1" ht="12.75" customHeight="1" thickBot="1" x14ac:dyDescent="0.25">
      <c r="A107" s="24"/>
      <c r="B107" s="74"/>
      <c r="C107" s="67"/>
      <c r="D107" s="67"/>
      <c r="E107" s="67"/>
      <c r="F107" s="67"/>
      <c r="G107" s="67"/>
      <c r="H107" s="61"/>
      <c r="I107" s="24"/>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row>
    <row r="108" spans="1:250" s="6" customFormat="1" x14ac:dyDescent="0.2">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row>
    <row r="109" spans="1:250" s="8" customFormat="1" hidden="1" x14ac:dyDescent="0.2">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row>
    <row r="110" spans="1:250" s="6" customFormat="1" hidden="1" x14ac:dyDescent="0.2">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row>
    <row r="111" spans="1:250" s="6" customFormat="1" hidden="1" x14ac:dyDescent="0.2">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row>
    <row r="112" spans="1:250" x14ac:dyDescent="0.2"/>
  </sheetData>
  <sheetProtection algorithmName="SHA-512" hashValue="7b1bn8R4LNiIo0C5DA7Y2QElVMTQILQqTy+OEL4tcOV3DNr7K9iw4LWJmca9KUS22LdMaXP+ulesH4DJ4Y2ITg==" saltValue="MufL7Rhzs7Y6dXXSlqfGIw==" spinCount="100000" sheet="1" insertRows="0"/>
  <dataConsolidate/>
  <mergeCells count="97">
    <mergeCell ref="B73:C73"/>
    <mergeCell ref="B74:C74"/>
    <mergeCell ref="B75:C75"/>
    <mergeCell ref="B76:C76"/>
    <mergeCell ref="B1:H1"/>
    <mergeCell ref="B19:F19"/>
    <mergeCell ref="B17:F17"/>
    <mergeCell ref="B9:F9"/>
    <mergeCell ref="G3:G4"/>
    <mergeCell ref="B2:H2"/>
    <mergeCell ref="B3:F3"/>
    <mergeCell ref="B10:F10"/>
    <mergeCell ref="B18:F18"/>
    <mergeCell ref="B15:H15"/>
    <mergeCell ref="B4:F4"/>
    <mergeCell ref="B5:F5"/>
    <mergeCell ref="G98:G99"/>
    <mergeCell ref="B50:C50"/>
    <mergeCell ref="B91:E91"/>
    <mergeCell ref="B58:C58"/>
    <mergeCell ref="B59:C59"/>
    <mergeCell ref="B60:C60"/>
    <mergeCell ref="B80:H80"/>
    <mergeCell ref="B81:E81"/>
    <mergeCell ref="B62:C62"/>
    <mergeCell ref="B56:C56"/>
    <mergeCell ref="B52:C52"/>
    <mergeCell ref="B53:C53"/>
    <mergeCell ref="B64:G64"/>
    <mergeCell ref="B54:C54"/>
    <mergeCell ref="B55:C55"/>
    <mergeCell ref="B51:C51"/>
    <mergeCell ref="B105:F105"/>
    <mergeCell ref="B106:F106"/>
    <mergeCell ref="B103:H103"/>
    <mergeCell ref="B83:E83"/>
    <mergeCell ref="B84:E84"/>
    <mergeCell ref="B85:E85"/>
    <mergeCell ref="B86:E86"/>
    <mergeCell ref="B87:E87"/>
    <mergeCell ref="B88:E88"/>
    <mergeCell ref="B100:F100"/>
    <mergeCell ref="B93:E93"/>
    <mergeCell ref="B94:E94"/>
    <mergeCell ref="B98:F98"/>
    <mergeCell ref="B99:F99"/>
    <mergeCell ref="B92:E92"/>
    <mergeCell ref="B97:H97"/>
    <mergeCell ref="B57:C57"/>
    <mergeCell ref="B42:F42"/>
    <mergeCell ref="B46:C46"/>
    <mergeCell ref="B89:E89"/>
    <mergeCell ref="B104:F104"/>
    <mergeCell ref="B49:C49"/>
    <mergeCell ref="B65:C65"/>
    <mergeCell ref="B66:C66"/>
    <mergeCell ref="B67:C67"/>
    <mergeCell ref="B68:C68"/>
    <mergeCell ref="B69:C69"/>
    <mergeCell ref="B70:C70"/>
    <mergeCell ref="B77:C77"/>
    <mergeCell ref="B78:C78"/>
    <mergeCell ref="B71:C71"/>
    <mergeCell ref="B72:C72"/>
    <mergeCell ref="G104:G105"/>
    <mergeCell ref="B8:F8"/>
    <mergeCell ref="B11:F11"/>
    <mergeCell ref="B25:F25"/>
    <mergeCell ref="B24:H24"/>
    <mergeCell ref="B16:F16"/>
    <mergeCell ref="B32:F32"/>
    <mergeCell ref="B27:F27"/>
    <mergeCell ref="B28:F28"/>
    <mergeCell ref="B12:F12"/>
    <mergeCell ref="B30:F30"/>
    <mergeCell ref="B31:F31"/>
    <mergeCell ref="B34:F34"/>
    <mergeCell ref="B90:E90"/>
    <mergeCell ref="B61:C61"/>
    <mergeCell ref="B82:E82"/>
    <mergeCell ref="B48:G48"/>
    <mergeCell ref="B44:G44"/>
    <mergeCell ref="B37:F37"/>
    <mergeCell ref="B36:F36"/>
    <mergeCell ref="B35:F35"/>
    <mergeCell ref="B40:H40"/>
    <mergeCell ref="B41:H41"/>
    <mergeCell ref="B33:F33"/>
    <mergeCell ref="B38:F38"/>
    <mergeCell ref="I6:I7"/>
    <mergeCell ref="B6:F6"/>
    <mergeCell ref="B7:F7"/>
    <mergeCell ref="B29:F29"/>
    <mergeCell ref="B22:F22"/>
    <mergeCell ref="B26:F26"/>
    <mergeCell ref="B20:F20"/>
    <mergeCell ref="B21:F21"/>
  </mergeCells>
  <phoneticPr fontId="4" type="noConversion"/>
  <conditionalFormatting sqref="G42">
    <cfRule type="expression" dxfId="47" priority="134" stopIfTrue="1">
      <formula>$I$42=FALSE</formula>
    </cfRule>
  </conditionalFormatting>
  <conditionalFormatting sqref="G16:G22 G3:G12">
    <cfRule type="expression" dxfId="46" priority="6" stopIfTrue="1">
      <formula>$I$13=FALSE</formula>
    </cfRule>
  </conditionalFormatting>
  <conditionalFormatting sqref="G26:G38 D46:F46">
    <cfRule type="expression" dxfId="45" priority="5" stopIfTrue="1">
      <formula>$I$26=FALSE</formula>
    </cfRule>
  </conditionalFormatting>
  <conditionalFormatting sqref="D50:D62 F50:F62 D66:D78 F66:F78">
    <cfRule type="expression" dxfId="44" priority="4" stopIfTrue="1">
      <formula>$I$50=FALSE</formula>
    </cfRule>
  </conditionalFormatting>
  <conditionalFormatting sqref="F82:G94">
    <cfRule type="expression" dxfId="43" priority="3" stopIfTrue="1">
      <formula>$I$82=FALSE</formula>
    </cfRule>
  </conditionalFormatting>
  <conditionalFormatting sqref="D66:D78">
    <cfRule type="expression" dxfId="42" priority="1" stopIfTrue="1">
      <formula>$I$50=FALSE</formula>
    </cfRule>
  </conditionalFormatting>
  <dataValidations disablePrompts="1" count="17">
    <dataValidation type="list" allowBlank="1" showInputMessage="1" showErrorMessage="1" errorTitle="Zone omogenee" error="Scegliere un valore dalla lista" sqref="D46 G16:G17 G11 G7:G9" xr:uid="{00000000-0002-0000-0300-000000000000}">
      <formula1>"Sì,No"</formula1>
    </dataValidation>
    <dataValidation type="list" allowBlank="1" showInputMessage="1" showErrorMessage="1" sqref="G104" xr:uid="{00000000-0002-0000-0300-000001000000}">
      <formula1>ElencoZoneMonetizzazione_Parcheggi</formula1>
    </dataValidation>
    <dataValidation type="list" allowBlank="1" showInputMessage="1" showErrorMessage="1" errorTitle="Zone omogenee" error="Scegliere un valore dalla lista" sqref="G5" xr:uid="{00000000-0002-0000-0300-000002000000}">
      <formula1>"No,Si (gratuita),Si (nuova edificazione),Si (ristrutturazione),Si (recupero sottotetto),Si (intero contributo)"</formula1>
    </dataValidation>
    <dataValidation type="list" allowBlank="1" showInputMessage="1" showErrorMessage="1" sqref="G3" xr:uid="{00000000-0002-0000-0300-000003000000}">
      <formula1>ElencoZoneTerritoriali</formula1>
    </dataValidation>
    <dataValidation type="list" allowBlank="1" showInputMessage="1" showErrorMessage="1" sqref="G98" xr:uid="{00000000-0002-0000-0300-000004000000}">
      <formula1>ElencoZoneMonetizzazione</formula1>
    </dataValidation>
    <dataValidation allowBlank="1" showInputMessage="1" showErrorMessage="1" promptTitle="DPR 380/01, art. 36, comma 2" prompt="Determina il pagamento di un'oblazione corrispondente al doppio del contributo di costruzione dovuto" sqref="H5" xr:uid="{00000000-0002-0000-0300-000005000000}"/>
    <dataValidation allowBlank="1" showInputMessage="1" showErrorMessage="1" promptTitle="DPR 380/01, articoli 7 e 37" prompt="La mancata comunicazione dell'inizio dei lavori o l'avere effettuato un intervento in assenza o difformità, comporta il pagamento di una sanzione pecuniaria" sqref="H6" xr:uid="{00000000-0002-0000-0300-000006000000}"/>
    <dataValidation allowBlank="1" showInputMessage="1" showErrorMessage="1" promptTitle="DPR 380/01, art. 17, comma 1" prompt="Determina una riduzione della sola quota degli oneri di urbanizzazione nei casi di edilizia convenzionata" sqref="H7" xr:uid="{00000000-0002-0000-0300-000007000000}"/>
    <dataValidation allowBlank="1" showInputMessage="1" showErrorMessage="1" promptTitle="DPR 380/01, art. 17, comma 4bis" prompt="Determina un eventuale riduzione del contributo di costruzione al fine di agevolare gli interventi di densificazione edilizia, per la ristrutturazione, il recupero e il riuso degli immobili dismessi o in via di dismissione" sqref="H9" xr:uid="{00000000-0002-0000-0300-000008000000}"/>
    <dataValidation allowBlank="1" showInputMessage="1" showErrorMessage="1" promptTitle="LR 31/14, art. 5, comma 10" prompt="Determina una maggiorazione percentuale del costo di costruzione per gli interventi che consumano suolo agricolo nello stato di fatto:_x000a_a) dal 20% al 30% all'esterno del tessuto urbano consolidato_x000a_b) 5% all'interno del tessuto urbano consolidato" sqref="H10" xr:uid="{00000000-0002-0000-0300-000009000000}"/>
    <dataValidation allowBlank="1" showInputMessage="1" showErrorMessage="1" prompt="Determina, nei casi di interventi di nuova costruzione con destinazione d'uso residenziale, l'applicazione delle tariffe agevolate previste per il calcolo degli oneri di urbanizzazione" sqref="H11" xr:uid="{00000000-0002-0000-0300-00000A000000}"/>
    <dataValidation allowBlank="1" showInputMessage="1" showErrorMessage="1" prompt="Determina, nei casi di interventi di nuova costruzione con destinazione d'uso residenziale, una riduzione percentuale degli oneri di urbanizzazione" sqref="H12" xr:uid="{00000000-0002-0000-0300-00000B000000}"/>
    <dataValidation allowBlank="1" showInputMessage="1" showErrorMessage="1" promptTitle="LR 12/05, art. 43, comma 2bis" prompt="Determina, nei casi di interventi di nuova costruzione che sottraggono superfici agricole nello stato di fatto una maggiorazione percentuale del contributo di costruzione" sqref="D47" xr:uid="{00000000-0002-0000-0300-00000C000000}"/>
    <dataValidation allowBlank="1" showInputMessage="1" showErrorMessage="1" prompt="Il valore percentuale dedotto dal rapporto tra la superficie complessiva del lotto e la superficie agricola sottratta nello stato di fatto, rappresenta a tutti gli effetti la maggiorazione da applicare all'importo del contributo di costruzione" sqref="F47" xr:uid="{00000000-0002-0000-0300-00000D000000}"/>
    <dataValidation allowBlank="1" showInputMessage="1" showErrorMessage="1" prompt="Valore percentuale del contributo di costruzione su cui è applicata l'eventuale maggiorazione" sqref="G47" xr:uid="{00000000-0002-0000-0300-00000E000000}"/>
    <dataValidation allowBlank="1" showInputMessage="1" showErrorMessage="1" promptTitle="LR 12/05, art.44, comma 12" prompt="Il contributo dovuto è commisurato alla eventuale maggior somma determinata in relazione alla nuova destinazione rispetto a quella che sarebbe dovuta per la destinazione precedente" sqref="H48" xr:uid="{00000000-0002-0000-0300-00000F000000}"/>
    <dataValidation allowBlank="1" showInputMessage="1" showErrorMessage="1" promptTitle="LR 12/05, art. 44, comma 10bis" prompt="I comuni, nei casi di ristrutturazione comportante demolizione e ricostruzione ed in quelli di integrale sostituzione edilizia possono ridurre, in misura non inferiore al 50%, ove dovuti, i contributi per gli oneri di urbanizzazione" sqref="H64" xr:uid="{00000000-0002-0000-0300-000010000000}"/>
  </dataValidations>
  <hyperlinks>
    <hyperlink ref="I6:I7" location="'Procedura guidata'!A1" display="Torna alla procedura guidata!" xr:uid="{00000000-0004-0000-0300-000000000000}"/>
  </hyperlinks>
  <printOptions horizontalCentered="1"/>
  <pageMargins left="0.23622047244094491" right="0.23622047244094491" top="0.35433070866141736" bottom="0.35433070866141736" header="0.31496062992125984" footer="0.31496062992125984"/>
  <pageSetup paperSize="9" scale="78" fitToHeight="0" orientation="portrait" r:id="rId1"/>
  <headerFooter alignWithMargins="0"/>
  <cellWatches>
    <cellWatch r="A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66"/>
    <pageSetUpPr fitToPage="1"/>
  </sheetPr>
  <dimension ref="A1:P409"/>
  <sheetViews>
    <sheetView showGridLines="0" zoomScaleNormal="100" workbookViewId="0"/>
  </sheetViews>
  <sheetFormatPr defaultColWidth="0" defaultRowHeight="12.75" zeroHeight="1" x14ac:dyDescent="0.2"/>
  <cols>
    <col min="1" max="2" width="3.28515625" customWidth="1"/>
    <col min="3" max="3" width="14.7109375" customWidth="1"/>
    <col min="4" max="9" width="11.7109375" customWidth="1"/>
    <col min="10" max="10" width="1.7109375" customWidth="1"/>
    <col min="11" max="14" width="5.28515625" customWidth="1"/>
    <col min="15" max="15" width="8.7109375" customWidth="1"/>
    <col min="16" max="16" width="0.85546875" customWidth="1"/>
    <col min="17" max="16384" width="9.140625" hidden="1"/>
  </cols>
  <sheetData>
    <row r="1" spans="2:15" x14ac:dyDescent="0.2"/>
    <row r="2" spans="2:15" ht="15.75" customHeight="1" x14ac:dyDescent="0.2">
      <c r="B2" s="1136" t="s">
        <v>312</v>
      </c>
      <c r="C2" s="1136"/>
      <c r="D2" s="1136"/>
      <c r="E2" s="1136"/>
      <c r="F2" s="1136"/>
      <c r="G2" s="1136"/>
      <c r="H2" s="1136"/>
      <c r="I2" s="1136"/>
      <c r="J2" s="1136"/>
    </row>
    <row r="3" spans="2:15" ht="15.75" customHeight="1" x14ac:dyDescent="0.2">
      <c r="B3" s="1136"/>
      <c r="C3" s="1136"/>
      <c r="D3" s="1136"/>
      <c r="E3" s="1136"/>
      <c r="F3" s="1136"/>
      <c r="G3" s="1136"/>
      <c r="H3" s="1136"/>
      <c r="I3" s="1136"/>
      <c r="J3" s="1136"/>
    </row>
    <row r="4" spans="2:15" ht="12.75" customHeight="1" x14ac:dyDescent="0.2">
      <c r="B4" s="820"/>
      <c r="C4" s="820"/>
      <c r="D4" s="820"/>
      <c r="E4" s="820"/>
      <c r="F4" s="820"/>
      <c r="G4" s="820"/>
      <c r="H4" s="820"/>
      <c r="I4" s="820"/>
      <c r="J4" s="820"/>
    </row>
    <row r="5" spans="2:15" ht="23.25" customHeight="1" x14ac:dyDescent="0.2">
      <c r="B5" s="820"/>
      <c r="C5" s="821" t="s">
        <v>24</v>
      </c>
      <c r="D5" s="1135" t="s">
        <v>389</v>
      </c>
      <c r="E5" s="1135"/>
      <c r="F5" s="1135"/>
      <c r="G5" s="1135"/>
      <c r="H5" s="820"/>
      <c r="I5" s="820"/>
      <c r="J5" s="820"/>
    </row>
    <row r="6" spans="2:15" ht="12.75" customHeight="1" thickBot="1" x14ac:dyDescent="0.25">
      <c r="B6" s="599"/>
      <c r="C6" s="599"/>
      <c r="D6" s="599"/>
      <c r="E6" s="599"/>
      <c r="F6" s="599"/>
      <c r="G6" s="599"/>
      <c r="H6" s="600"/>
      <c r="I6" s="600"/>
      <c r="J6" s="599"/>
    </row>
    <row r="7" spans="2:15" ht="15.75" customHeight="1" x14ac:dyDescent="0.2">
      <c r="B7" s="599"/>
      <c r="C7" s="1139" t="s">
        <v>320</v>
      </c>
      <c r="D7" s="1140"/>
      <c r="E7" s="1140"/>
      <c r="F7" s="1140"/>
      <c r="G7" s="1141"/>
      <c r="H7" s="612"/>
      <c r="I7" s="612"/>
      <c r="J7" s="599"/>
    </row>
    <row r="8" spans="2:15" ht="12.75" customHeight="1" x14ac:dyDescent="0.2">
      <c r="B8" s="599"/>
      <c r="C8" s="1137" t="s">
        <v>313</v>
      </c>
      <c r="D8" s="1138"/>
      <c r="E8" s="1138"/>
      <c r="F8" s="1138"/>
      <c r="G8" s="610">
        <v>2</v>
      </c>
      <c r="J8" s="599"/>
    </row>
    <row r="9" spans="2:15" ht="12.75" customHeight="1" x14ac:dyDescent="0.2">
      <c r="B9" s="599"/>
      <c r="C9" s="1132" t="s">
        <v>321</v>
      </c>
      <c r="D9" s="1133"/>
      <c r="E9" s="1133"/>
      <c r="F9" s="1133"/>
      <c r="G9" s="764">
        <f>dimensione_planimetrica_1_totale</f>
        <v>0</v>
      </c>
      <c r="J9" s="599"/>
    </row>
    <row r="10" spans="2:15" ht="12.75" customHeight="1" x14ac:dyDescent="0.2">
      <c r="B10" s="599"/>
      <c r="C10" s="1132" t="s">
        <v>322</v>
      </c>
      <c r="D10" s="1133"/>
      <c r="E10" s="1133"/>
      <c r="F10" s="1133"/>
      <c r="G10" s="764">
        <f>dimensione_planimetrica_2_totale</f>
        <v>0</v>
      </c>
      <c r="J10" s="599"/>
    </row>
    <row r="11" spans="2:15" ht="12.75" customHeight="1" x14ac:dyDescent="0.2">
      <c r="B11" s="599"/>
      <c r="C11" s="1132" t="s">
        <v>323</v>
      </c>
      <c r="D11" s="1133"/>
      <c r="E11" s="1133"/>
      <c r="F11" s="1133"/>
      <c r="G11" s="764">
        <f>dimensione_planimetrica_3_totale</f>
        <v>0</v>
      </c>
      <c r="J11" s="599"/>
      <c r="K11" s="1119" t="s">
        <v>242</v>
      </c>
      <c r="L11" s="1119"/>
      <c r="M11" s="1119"/>
      <c r="N11" s="1119"/>
    </row>
    <row r="12" spans="2:15" ht="12.75" customHeight="1" x14ac:dyDescent="0.2">
      <c r="B12" s="599"/>
      <c r="C12" s="1132" t="s">
        <v>324</v>
      </c>
      <c r="D12" s="1133"/>
      <c r="E12" s="1133"/>
      <c r="F12" s="1133"/>
      <c r="G12" s="764">
        <f>dimensione_planimetrica_4_totale</f>
        <v>0</v>
      </c>
      <c r="J12" s="599"/>
      <c r="K12" s="1119"/>
      <c r="L12" s="1119"/>
      <c r="M12" s="1119"/>
      <c r="N12" s="1119"/>
    </row>
    <row r="13" spans="2:15" ht="12.75" customHeight="1" x14ac:dyDescent="0.2">
      <c r="B13" s="599"/>
      <c r="C13" s="1132" t="s">
        <v>325</v>
      </c>
      <c r="D13" s="1133"/>
      <c r="E13" s="1133"/>
      <c r="F13" s="1133"/>
      <c r="G13" s="764">
        <f>dimensione_planimetrica_5_totale</f>
        <v>0</v>
      </c>
      <c r="J13" s="599"/>
    </row>
    <row r="14" spans="2:15" ht="12.75" customHeight="1" x14ac:dyDescent="0.2">
      <c r="B14" s="599"/>
      <c r="C14" s="1120" t="s">
        <v>326</v>
      </c>
      <c r="D14" s="1121"/>
      <c r="E14" s="1121"/>
      <c r="F14" s="1121"/>
      <c r="G14" s="764">
        <f>SUM(E32,G47,G62,G77,G92,G107,G122,G137,G152,G167,G182,G197,G212,G227,G242,G257,G272,G287,G302,G317,G347,G362,G377,G392,G407)</f>
        <v>0</v>
      </c>
      <c r="J14" s="599"/>
    </row>
    <row r="15" spans="2:15" ht="12.75" customHeight="1" x14ac:dyDescent="0.2">
      <c r="B15" s="600"/>
      <c r="C15" s="1120" t="s">
        <v>327</v>
      </c>
      <c r="D15" s="1121"/>
      <c r="E15" s="1121"/>
      <c r="F15" s="1121"/>
      <c r="G15" s="764">
        <f>SUM(F32,H47,H62,H77,H92,H107,H122,H137,H152,H167,H182,H197,H212,H227,H242,H257,H272,H287,H302,H317,H347,H362,H377,H392,H407)</f>
        <v>0</v>
      </c>
      <c r="J15" s="600"/>
      <c r="K15" s="619"/>
      <c r="L15" s="619"/>
      <c r="M15" s="619"/>
      <c r="N15" s="619"/>
      <c r="O15" s="619"/>
    </row>
    <row r="16" spans="2:15" ht="12.75" customHeight="1" x14ac:dyDescent="0.2">
      <c r="B16" s="600"/>
      <c r="C16" s="1120" t="s">
        <v>328</v>
      </c>
      <c r="D16" s="1121"/>
      <c r="E16" s="1121"/>
      <c r="F16" s="1121"/>
      <c r="G16" s="764">
        <f>SUM(G32,I47,I62,I77,I92,I107,I122,I137,I152,I167,I182,I197,I212,I227,I242,I257,I272,I287,I302,I317,I347,I362,I377,I392,I407)</f>
        <v>0</v>
      </c>
      <c r="J16" s="600"/>
      <c r="K16" s="619"/>
      <c r="L16" s="619"/>
      <c r="M16" s="619"/>
      <c r="N16" s="619"/>
      <c r="O16" s="619"/>
    </row>
    <row r="17" spans="2:15" ht="12.75" customHeight="1" thickBot="1" x14ac:dyDescent="0.25">
      <c r="B17" s="599"/>
      <c r="C17" s="608"/>
      <c r="D17" s="609"/>
      <c r="E17" s="609"/>
      <c r="F17" s="609"/>
      <c r="G17" s="471"/>
      <c r="H17" s="51"/>
      <c r="I17" s="51"/>
      <c r="J17" s="599"/>
      <c r="K17" s="243"/>
      <c r="L17" s="243"/>
      <c r="M17" s="243"/>
      <c r="N17" s="243"/>
      <c r="O17" s="243"/>
    </row>
    <row r="18" spans="2:15" ht="12.75" customHeight="1" x14ac:dyDescent="0.2">
      <c r="B18" s="635"/>
      <c r="C18" s="646"/>
      <c r="D18" s="646"/>
      <c r="E18" s="646"/>
      <c r="F18" s="646"/>
      <c r="G18" s="51"/>
      <c r="H18" s="51"/>
      <c r="I18" s="51"/>
      <c r="J18" s="635"/>
      <c r="K18" s="243"/>
      <c r="L18" s="243"/>
      <c r="M18" s="243"/>
      <c r="N18" s="243"/>
      <c r="O18" s="243"/>
    </row>
    <row r="19" spans="2:15" ht="12.75" customHeight="1" thickBot="1" x14ac:dyDescent="0.3">
      <c r="B19" s="635"/>
      <c r="C19" s="1134" t="s">
        <v>344</v>
      </c>
      <c r="D19" s="1134"/>
      <c r="E19" s="646"/>
      <c r="F19" s="646"/>
      <c r="G19" s="51"/>
      <c r="H19" s="51"/>
      <c r="I19" s="51"/>
      <c r="J19" s="635"/>
      <c r="K19" s="243"/>
      <c r="L19" s="243"/>
      <c r="M19" s="243"/>
      <c r="N19" s="243"/>
      <c r="O19" s="243"/>
    </row>
    <row r="20" spans="2:15" ht="12.75" customHeight="1" x14ac:dyDescent="0.2">
      <c r="B20" s="635"/>
      <c r="C20" s="1116" t="s">
        <v>345</v>
      </c>
      <c r="D20" s="1117"/>
      <c r="E20" s="614" t="s">
        <v>314</v>
      </c>
      <c r="F20" s="614" t="s">
        <v>315</v>
      </c>
      <c r="G20" s="615" t="s">
        <v>316</v>
      </c>
      <c r="H20" s="51"/>
      <c r="I20" s="51"/>
      <c r="J20" s="635"/>
      <c r="K20" s="243"/>
      <c r="L20" s="243"/>
      <c r="M20" s="243"/>
      <c r="N20" s="243"/>
      <c r="O20" s="243"/>
    </row>
    <row r="21" spans="2:15" ht="12.75" customHeight="1" x14ac:dyDescent="0.2">
      <c r="B21" s="635"/>
      <c r="C21" s="1109"/>
      <c r="D21" s="1110"/>
      <c r="E21" s="602"/>
      <c r="F21" s="603"/>
      <c r="G21" s="605"/>
      <c r="H21" s="51"/>
      <c r="I21" s="51"/>
      <c r="J21" s="635"/>
      <c r="K21" s="243"/>
      <c r="L21" s="243"/>
      <c r="M21" s="243"/>
      <c r="N21" s="243"/>
      <c r="O21" s="243"/>
    </row>
    <row r="22" spans="2:15" ht="12.75" customHeight="1" x14ac:dyDescent="0.2">
      <c r="B22" s="635"/>
      <c r="C22" s="1109"/>
      <c r="D22" s="1110"/>
      <c r="E22" s="602"/>
      <c r="F22" s="603"/>
      <c r="G22" s="605"/>
      <c r="H22" s="51"/>
      <c r="I22" s="51"/>
      <c r="J22" s="635"/>
      <c r="K22" s="243"/>
      <c r="L22" s="243"/>
      <c r="M22" s="243"/>
      <c r="N22" s="243"/>
      <c r="O22" s="243"/>
    </row>
    <row r="23" spans="2:15" ht="12.75" customHeight="1" x14ac:dyDescent="0.2">
      <c r="B23" s="635"/>
      <c r="C23" s="1109"/>
      <c r="D23" s="1110"/>
      <c r="E23" s="602"/>
      <c r="F23" s="603"/>
      <c r="G23" s="605"/>
      <c r="H23" s="51"/>
      <c r="I23" s="51"/>
      <c r="J23" s="635"/>
      <c r="K23" s="243"/>
      <c r="L23" s="243"/>
      <c r="M23" s="243"/>
      <c r="N23" s="243"/>
      <c r="O23" s="243"/>
    </row>
    <row r="24" spans="2:15" ht="12.75" customHeight="1" x14ac:dyDescent="0.2">
      <c r="B24" s="635"/>
      <c r="C24" s="1109"/>
      <c r="D24" s="1110"/>
      <c r="E24" s="602"/>
      <c r="F24" s="603"/>
      <c r="G24" s="605"/>
      <c r="H24" s="51"/>
      <c r="I24" s="51"/>
      <c r="J24" s="635"/>
      <c r="K24" s="243"/>
      <c r="L24" s="243"/>
      <c r="M24" s="243"/>
      <c r="N24" s="243"/>
      <c r="O24" s="243"/>
    </row>
    <row r="25" spans="2:15" ht="12.75" customHeight="1" x14ac:dyDescent="0.2">
      <c r="B25" s="635"/>
      <c r="C25" s="1109"/>
      <c r="D25" s="1110"/>
      <c r="E25" s="602"/>
      <c r="F25" s="603"/>
      <c r="G25" s="605"/>
      <c r="H25" s="51"/>
      <c r="I25" s="51"/>
      <c r="J25" s="635"/>
      <c r="K25" s="243"/>
      <c r="L25" s="243"/>
      <c r="M25" s="243"/>
      <c r="N25" s="243"/>
      <c r="O25" s="243"/>
    </row>
    <row r="26" spans="2:15" ht="12.75" customHeight="1" x14ac:dyDescent="0.2">
      <c r="B26" s="635"/>
      <c r="C26" s="1109"/>
      <c r="D26" s="1110"/>
      <c r="E26" s="602"/>
      <c r="F26" s="603"/>
      <c r="G26" s="605"/>
      <c r="H26" s="51"/>
      <c r="I26" s="51"/>
      <c r="J26" s="635"/>
      <c r="K26" s="243"/>
      <c r="L26" s="243"/>
      <c r="M26" s="243"/>
      <c r="N26" s="243"/>
      <c r="O26" s="243"/>
    </row>
    <row r="27" spans="2:15" ht="12.75" customHeight="1" x14ac:dyDescent="0.2">
      <c r="B27" s="635"/>
      <c r="C27" s="1109"/>
      <c r="D27" s="1110"/>
      <c r="E27" s="602"/>
      <c r="F27" s="603"/>
      <c r="G27" s="605"/>
      <c r="H27" s="51"/>
      <c r="I27" s="51"/>
      <c r="J27" s="635"/>
      <c r="K27" s="243"/>
      <c r="L27" s="243"/>
      <c r="M27" s="243"/>
      <c r="N27" s="243"/>
      <c r="O27" s="243"/>
    </row>
    <row r="28" spans="2:15" ht="12.75" customHeight="1" x14ac:dyDescent="0.2">
      <c r="B28" s="635"/>
      <c r="C28" s="1109"/>
      <c r="D28" s="1110"/>
      <c r="E28" s="602"/>
      <c r="F28" s="603"/>
      <c r="G28" s="605"/>
      <c r="H28" s="51"/>
      <c r="I28" s="51"/>
      <c r="J28" s="635"/>
      <c r="K28" s="243"/>
      <c r="L28" s="243"/>
      <c r="M28" s="243"/>
      <c r="N28" s="243"/>
      <c r="O28" s="243"/>
    </row>
    <row r="29" spans="2:15" ht="12.75" customHeight="1" x14ac:dyDescent="0.2">
      <c r="B29" s="635"/>
      <c r="C29" s="1109"/>
      <c r="D29" s="1110"/>
      <c r="E29" s="602"/>
      <c r="F29" s="603"/>
      <c r="G29" s="605"/>
      <c r="H29" s="51"/>
      <c r="I29" s="51"/>
      <c r="J29" s="635"/>
      <c r="K29" s="243"/>
      <c r="L29" s="243"/>
      <c r="M29" s="243"/>
      <c r="N29" s="243"/>
      <c r="O29" s="243"/>
    </row>
    <row r="30" spans="2:15" ht="12.75" customHeight="1" x14ac:dyDescent="0.2">
      <c r="B30" s="635"/>
      <c r="C30" s="1109"/>
      <c r="D30" s="1110"/>
      <c r="E30" s="602"/>
      <c r="F30" s="603"/>
      <c r="G30" s="605"/>
      <c r="H30" s="51"/>
      <c r="I30" s="51"/>
      <c r="J30" s="635"/>
      <c r="K30" s="243"/>
      <c r="L30" s="243"/>
      <c r="M30" s="243"/>
      <c r="N30" s="243"/>
      <c r="O30" s="243"/>
    </row>
    <row r="31" spans="2:15" ht="12.75" customHeight="1" thickBot="1" x14ac:dyDescent="0.25">
      <c r="B31" s="635"/>
      <c r="C31" s="1112"/>
      <c r="D31" s="1113"/>
      <c r="E31" s="613"/>
      <c r="F31" s="606"/>
      <c r="G31" s="607"/>
      <c r="H31" s="51"/>
      <c r="I31" s="51"/>
      <c r="J31" s="635"/>
      <c r="K31" s="243"/>
      <c r="L31" s="243"/>
      <c r="M31" s="243"/>
      <c r="N31" s="243"/>
      <c r="O31" s="243"/>
    </row>
    <row r="32" spans="2:15" ht="12.75" customHeight="1" thickBot="1" x14ac:dyDescent="0.25">
      <c r="B32" s="635"/>
      <c r="E32" s="765">
        <f>SUM(E21:E31)</f>
        <v>0</v>
      </c>
      <c r="F32" s="766">
        <f>SUM(F21:F31)</f>
        <v>0</v>
      </c>
      <c r="G32" s="766">
        <f>SUM(G21:G31)</f>
        <v>0</v>
      </c>
      <c r="H32" s="51"/>
      <c r="I32" s="51"/>
      <c r="J32" s="635"/>
      <c r="K32" s="243"/>
      <c r="L32" s="243"/>
      <c r="M32" s="243"/>
      <c r="N32" s="243"/>
      <c r="O32" s="243"/>
    </row>
    <row r="33" spans="1:15" x14ac:dyDescent="0.2">
      <c r="K33" s="243"/>
      <c r="L33" s="243"/>
      <c r="M33" s="243"/>
      <c r="N33" s="243"/>
      <c r="O33" s="243"/>
    </row>
    <row r="34" spans="1:15" s="619" customFormat="1" ht="15.75" thickBot="1" x14ac:dyDescent="0.3">
      <c r="A34"/>
      <c r="B34"/>
      <c r="C34" s="1115" t="s">
        <v>311</v>
      </c>
      <c r="D34" s="1115"/>
      <c r="E34" s="597">
        <v>1</v>
      </c>
      <c r="F34" s="601" t="s">
        <v>309</v>
      </c>
      <c r="G34" s="597"/>
      <c r="H34"/>
      <c r="I34"/>
      <c r="J34"/>
      <c r="K34" s="887" t="s">
        <v>105</v>
      </c>
      <c r="L34" s="887"/>
      <c r="M34" s="887"/>
      <c r="N34" s="887"/>
      <c r="O34" s="887"/>
    </row>
    <row r="35" spans="1:15" s="619" customFormat="1" ht="12.75" customHeight="1" x14ac:dyDescent="0.2">
      <c r="A35"/>
      <c r="B35"/>
      <c r="C35" s="1116" t="s">
        <v>310</v>
      </c>
      <c r="D35" s="1117"/>
      <c r="E35" s="1118"/>
      <c r="F35" s="598" t="s">
        <v>105</v>
      </c>
      <c r="G35" s="614" t="s">
        <v>314</v>
      </c>
      <c r="H35" s="614" t="s">
        <v>315</v>
      </c>
      <c r="I35" s="615" t="s">
        <v>316</v>
      </c>
      <c r="J35"/>
      <c r="K35" s="620" t="s">
        <v>7</v>
      </c>
      <c r="L35" s="621" t="s">
        <v>8</v>
      </c>
      <c r="M35" s="620" t="s">
        <v>9</v>
      </c>
      <c r="N35" s="620" t="s">
        <v>10</v>
      </c>
      <c r="O35" s="620" t="s">
        <v>11</v>
      </c>
    </row>
    <row r="36" spans="1:15" s="619" customFormat="1" x14ac:dyDescent="0.2">
      <c r="A36"/>
      <c r="B36"/>
      <c r="C36" s="1109"/>
      <c r="D36" s="1110"/>
      <c r="E36" s="1111"/>
      <c r="F36" s="603"/>
      <c r="G36" s="602"/>
      <c r="H36" s="603"/>
      <c r="I36" s="605"/>
      <c r="J36"/>
      <c r="K36" s="767">
        <f>IF(F47&lt;=95,F47,0)</f>
        <v>0</v>
      </c>
      <c r="L36" s="767">
        <f>IF(F47&gt;95,IF(F47&lt;=110,F47,0),0)</f>
        <v>0</v>
      </c>
      <c r="M36" s="767">
        <f>IF(F47&gt;110,IF(F47&lt;=130,F47,0),0)</f>
        <v>0</v>
      </c>
      <c r="N36" s="767">
        <f>IF(F47&gt;130,IF(F47&lt;=160,F47,0),0)</f>
        <v>0</v>
      </c>
      <c r="O36" s="767">
        <f>IF(F47&gt;160,F47,0)</f>
        <v>0</v>
      </c>
    </row>
    <row r="37" spans="1:15" s="619" customFormat="1" x14ac:dyDescent="0.2">
      <c r="A37"/>
      <c r="B37"/>
      <c r="C37" s="1109"/>
      <c r="D37" s="1110"/>
      <c r="E37" s="1111"/>
      <c r="F37" s="603"/>
      <c r="G37" s="602"/>
      <c r="H37" s="603"/>
      <c r="I37" s="605"/>
      <c r="J37"/>
      <c r="K37" s="767">
        <f>IF(F62&lt;=95,F62,0)</f>
        <v>0</v>
      </c>
      <c r="L37" s="767">
        <f>IF(F62&gt;95,IF(F62&lt;=110,F62,0),0)</f>
        <v>0</v>
      </c>
      <c r="M37" s="767">
        <f>IF(F62&gt;110,IF(F62&lt;=130,F62,0),0)</f>
        <v>0</v>
      </c>
      <c r="N37" s="767">
        <f>IF(F62&gt;130,IF(F62&lt;=160,F62,0),0)</f>
        <v>0</v>
      </c>
      <c r="O37" s="767">
        <f>IF(F62&gt;160,F62,0)</f>
        <v>0</v>
      </c>
    </row>
    <row r="38" spans="1:15" s="619" customFormat="1" x14ac:dyDescent="0.2">
      <c r="A38"/>
      <c r="B38"/>
      <c r="C38" s="1109"/>
      <c r="D38" s="1110"/>
      <c r="E38" s="1111"/>
      <c r="F38" s="603"/>
      <c r="G38" s="602"/>
      <c r="H38" s="603"/>
      <c r="I38" s="605"/>
      <c r="J38"/>
      <c r="K38" s="767">
        <f>IF(F77&lt;=95,F77,0)</f>
        <v>0</v>
      </c>
      <c r="L38" s="767">
        <f>IF(F77&gt;95,IF(F77&lt;=110,F77,0),0)</f>
        <v>0</v>
      </c>
      <c r="M38" s="767">
        <f>IF(F77&gt;110,IF(F77&lt;=130,F77,0),0)</f>
        <v>0</v>
      </c>
      <c r="N38" s="767">
        <f>IF(F77&gt;130,IF(F77&lt;=160,F77,0),0)</f>
        <v>0</v>
      </c>
      <c r="O38" s="767">
        <f>IF(F77&gt;160,F77,0)</f>
        <v>0</v>
      </c>
    </row>
    <row r="39" spans="1:15" s="619" customFormat="1" x14ac:dyDescent="0.2">
      <c r="A39"/>
      <c r="B39"/>
      <c r="C39" s="1109"/>
      <c r="D39" s="1110"/>
      <c r="E39" s="1111"/>
      <c r="F39" s="603"/>
      <c r="G39" s="602"/>
      <c r="H39" s="603"/>
      <c r="I39" s="605"/>
      <c r="J39"/>
      <c r="K39" s="767">
        <f>IF(F92&lt;=95,F92,0)</f>
        <v>0</v>
      </c>
      <c r="L39" s="767">
        <f>IF(F92&gt;95,IF(F92&lt;=110,F92,0),0)</f>
        <v>0</v>
      </c>
      <c r="M39" s="767">
        <f>IF(F92&gt;110,IF(F92&lt;=130,F92,0),0)</f>
        <v>0</v>
      </c>
      <c r="N39" s="767">
        <f>IF(F92&gt;130,IF(F92&lt;=160,F92,0),0)</f>
        <v>0</v>
      </c>
      <c r="O39" s="767">
        <f>IF(F92&gt;160,F92,0)</f>
        <v>0</v>
      </c>
    </row>
    <row r="40" spans="1:15" s="619" customFormat="1" x14ac:dyDescent="0.2">
      <c r="A40"/>
      <c r="B40"/>
      <c r="C40" s="1109"/>
      <c r="D40" s="1110"/>
      <c r="E40" s="1111"/>
      <c r="F40" s="603"/>
      <c r="G40" s="602"/>
      <c r="H40" s="603"/>
      <c r="I40" s="605"/>
      <c r="J40"/>
      <c r="K40" s="767">
        <f>IF(F107&lt;=95,F107,0)</f>
        <v>0</v>
      </c>
      <c r="L40" s="767">
        <f>IF(F107&gt;95,IF(F107&lt;=110,F107,0),0)</f>
        <v>0</v>
      </c>
      <c r="M40" s="767">
        <f>IF(F107&gt;110,IF(F107&lt;=130,F107,0),0)</f>
        <v>0</v>
      </c>
      <c r="N40" s="767">
        <f>IF(F107&gt;130,IF(F107&lt;=160,F107,0),0)</f>
        <v>0</v>
      </c>
      <c r="O40" s="767">
        <f>IF(F107&gt;160,F107,0)</f>
        <v>0</v>
      </c>
    </row>
    <row r="41" spans="1:15" s="619" customFormat="1" x14ac:dyDescent="0.2">
      <c r="A41"/>
      <c r="B41"/>
      <c r="C41" s="1109"/>
      <c r="D41" s="1110"/>
      <c r="E41" s="1111"/>
      <c r="F41" s="603"/>
      <c r="G41" s="602"/>
      <c r="H41" s="603"/>
      <c r="I41" s="605"/>
      <c r="J41"/>
      <c r="K41" s="767">
        <f>IF(F122&lt;=95,F122,0)</f>
        <v>0</v>
      </c>
      <c r="L41" s="767">
        <f>IF(F122&gt;95,IF(F122&lt;=110,F122,0),0)</f>
        <v>0</v>
      </c>
      <c r="M41" s="767">
        <f>IF(F122&gt;110,IF(F122&lt;=130,F122,0),0)</f>
        <v>0</v>
      </c>
      <c r="N41" s="767">
        <f>IF(F122&gt;130,IF(F122&lt;=160,F122,0),0)</f>
        <v>0</v>
      </c>
      <c r="O41" s="767">
        <f>IF(F122&gt;160,F122,0)</f>
        <v>0</v>
      </c>
    </row>
    <row r="42" spans="1:15" s="619" customFormat="1" x14ac:dyDescent="0.2">
      <c r="A42"/>
      <c r="B42"/>
      <c r="C42" s="1109"/>
      <c r="D42" s="1110"/>
      <c r="E42" s="1111"/>
      <c r="F42" s="603"/>
      <c r="G42" s="602"/>
      <c r="H42" s="603"/>
      <c r="I42" s="605"/>
      <c r="J42"/>
      <c r="K42" s="767">
        <f>IF(F137&lt;=95,F137,0)</f>
        <v>0</v>
      </c>
      <c r="L42" s="767">
        <f>IF(F137&gt;95,IF(F137&lt;=110,F137,0),0)</f>
        <v>0</v>
      </c>
      <c r="M42" s="767">
        <f>IF(F137&gt;110,IF(F137&lt;=130,F137,0),0)</f>
        <v>0</v>
      </c>
      <c r="N42" s="767">
        <f>IF(F137&gt;130,IF(F137&lt;=160,F137,0),0)</f>
        <v>0</v>
      </c>
      <c r="O42" s="767">
        <f>IF(F137&gt;160,F137,0)</f>
        <v>0</v>
      </c>
    </row>
    <row r="43" spans="1:15" s="619" customFormat="1" x14ac:dyDescent="0.2">
      <c r="A43"/>
      <c r="B43"/>
      <c r="C43" s="1109"/>
      <c r="D43" s="1110"/>
      <c r="E43" s="1111"/>
      <c r="F43" s="603"/>
      <c r="G43" s="602"/>
      <c r="H43" s="603"/>
      <c r="I43" s="605"/>
      <c r="J43"/>
      <c r="K43" s="767">
        <f>IF(F152&lt;=95,F152,0)</f>
        <v>0</v>
      </c>
      <c r="L43" s="767">
        <f>IF(F152&gt;95,IF(F152&lt;=110,F152,0),0)</f>
        <v>0</v>
      </c>
      <c r="M43" s="767">
        <f>IF(F152&gt;110,IF(F152&lt;=130,F152,0),0)</f>
        <v>0</v>
      </c>
      <c r="N43" s="767">
        <f>IF(F152&gt;130,IF(F152&lt;=160,F152,0),0)</f>
        <v>0</v>
      </c>
      <c r="O43" s="767">
        <f>IF(F152&gt;160,F152,0)</f>
        <v>0</v>
      </c>
    </row>
    <row r="44" spans="1:15" s="619" customFormat="1" x14ac:dyDescent="0.2">
      <c r="A44"/>
      <c r="B44"/>
      <c r="C44" s="1109"/>
      <c r="D44" s="1110"/>
      <c r="E44" s="1111"/>
      <c r="F44" s="603"/>
      <c r="G44" s="602"/>
      <c r="H44" s="603"/>
      <c r="I44" s="605"/>
      <c r="J44"/>
      <c r="K44" s="767">
        <f>IF(F167&lt;=95,F167,0)</f>
        <v>0</v>
      </c>
      <c r="L44" s="767">
        <f>IF(F167&gt;95,IF(F167&lt;=110,F167,0),0)</f>
        <v>0</v>
      </c>
      <c r="M44" s="767">
        <f>IF(F167&gt;110,IF(F167&lt;=130,F167,0),0)</f>
        <v>0</v>
      </c>
      <c r="N44" s="767">
        <f>IF(F167&gt;130,IF(F167&lt;=160,F167,0),0)</f>
        <v>0</v>
      </c>
      <c r="O44" s="767">
        <f>IF(F167&gt;160,F167,0)</f>
        <v>0</v>
      </c>
    </row>
    <row r="45" spans="1:15" s="619" customFormat="1" x14ac:dyDescent="0.2">
      <c r="A45"/>
      <c r="B45"/>
      <c r="C45" s="1109"/>
      <c r="D45" s="1110"/>
      <c r="E45" s="1111"/>
      <c r="F45" s="603"/>
      <c r="G45" s="602"/>
      <c r="H45" s="603"/>
      <c r="I45" s="605"/>
      <c r="J45"/>
      <c r="K45" s="767">
        <f>IF(F182&lt;=95,F182,0)</f>
        <v>0</v>
      </c>
      <c r="L45" s="767">
        <f>IF(F182&gt;95,IF(F182&lt;=110,F182,0),0)</f>
        <v>0</v>
      </c>
      <c r="M45" s="767">
        <f>IF(F182&gt;110,IF(F182&lt;=130,F182,0),0)</f>
        <v>0</v>
      </c>
      <c r="N45" s="767">
        <f>IF(F182&gt;130,IF(F182&lt;=160,F182,0),0)</f>
        <v>0</v>
      </c>
      <c r="O45" s="767">
        <f>IF(F182&gt;160,F182,0)</f>
        <v>0</v>
      </c>
    </row>
    <row r="46" spans="1:15" s="619" customFormat="1" ht="13.5" thickBot="1" x14ac:dyDescent="0.25">
      <c r="A46"/>
      <c r="B46"/>
      <c r="C46" s="1112"/>
      <c r="D46" s="1113"/>
      <c r="E46" s="1114"/>
      <c r="F46" s="606"/>
      <c r="G46" s="613"/>
      <c r="H46" s="606"/>
      <c r="I46" s="607"/>
      <c r="J46"/>
      <c r="K46" s="767">
        <f>IF(F197&lt;=95,F197,0)</f>
        <v>0</v>
      </c>
      <c r="L46" s="767">
        <f>IF(F197&gt;95,IF(F197&lt;=110,F197,0),0)</f>
        <v>0</v>
      </c>
      <c r="M46" s="767">
        <f>IF(F197&gt;110,IF(F197&lt;=130,F197,0),0)</f>
        <v>0</v>
      </c>
      <c r="N46" s="767">
        <f>IF(F197&gt;130,IF(F197&lt;=160,F197,0),0)</f>
        <v>0</v>
      </c>
      <c r="O46" s="767">
        <f>IF(F197&gt;160,F197,0)</f>
        <v>0</v>
      </c>
    </row>
    <row r="47" spans="1:15" s="619" customFormat="1" ht="15.75" thickBot="1" x14ac:dyDescent="0.3">
      <c r="A47"/>
      <c r="B47"/>
      <c r="C47"/>
      <c r="D47"/>
      <c r="E47" s="601" t="s">
        <v>99</v>
      </c>
      <c r="F47" s="766">
        <f>SUM(F36:F46)</f>
        <v>0</v>
      </c>
      <c r="G47" s="765">
        <f>SUM(G36:G46)</f>
        <v>0</v>
      </c>
      <c r="H47" s="766">
        <f>SUM(H36:H46)</f>
        <v>0</v>
      </c>
      <c r="I47" s="766">
        <f>SUM(I36:I46)</f>
        <v>0</v>
      </c>
      <c r="J47"/>
      <c r="K47" s="767">
        <f>IF(F212&lt;=95,F212,0)</f>
        <v>0</v>
      </c>
      <c r="L47" s="767">
        <f>IF(F212&gt;95,IF(F212&lt;=110,F212,0),0)</f>
        <v>0</v>
      </c>
      <c r="M47" s="767">
        <f>IF(F212&gt;110,IF(F212&lt;=130,F212,0),0)</f>
        <v>0</v>
      </c>
      <c r="N47" s="767">
        <f>IF(F212&gt;130,IF(F212&lt;=160,F212,0),0)</f>
        <v>0</v>
      </c>
      <c r="O47" s="767">
        <f>IF(F212&gt;160,F212,0)</f>
        <v>0</v>
      </c>
    </row>
    <row r="48" spans="1:15" s="619" customFormat="1" x14ac:dyDescent="0.2">
      <c r="A48"/>
      <c r="B48"/>
      <c r="C48"/>
      <c r="D48"/>
      <c r="E48"/>
      <c r="F48"/>
      <c r="G48"/>
      <c r="H48"/>
      <c r="I48"/>
      <c r="J48"/>
      <c r="K48" s="767">
        <f>IF(F227&lt;=95,F227,0)</f>
        <v>0</v>
      </c>
      <c r="L48" s="767">
        <f>IF(F227&gt;95,IF(F227&lt;=110,F227,0),0)</f>
        <v>0</v>
      </c>
      <c r="M48" s="767">
        <f>IF(F227&gt;110,IF(F227&lt;=130,F227,0),0)</f>
        <v>0</v>
      </c>
      <c r="N48" s="767">
        <f>IF(F227&gt;130,IF(F227&lt;=160,F227,0),0)</f>
        <v>0</v>
      </c>
      <c r="O48" s="767">
        <f>IF(F227&gt;160,F227,0)</f>
        <v>0</v>
      </c>
    </row>
    <row r="49" spans="1:15" s="619" customFormat="1" ht="15.75" thickBot="1" x14ac:dyDescent="0.3">
      <c r="A49"/>
      <c r="B49"/>
      <c r="C49" s="1115" t="s">
        <v>311</v>
      </c>
      <c r="D49" s="1115"/>
      <c r="E49" s="597">
        <v>2</v>
      </c>
      <c r="F49" s="601" t="s">
        <v>309</v>
      </c>
      <c r="G49" s="597"/>
      <c r="H49"/>
      <c r="I49"/>
      <c r="J49"/>
      <c r="K49" s="767">
        <f>IF(F242&lt;=95,F242,0)</f>
        <v>0</v>
      </c>
      <c r="L49" s="767">
        <f>IF(F242&gt;95,IF(F242&lt;=110,F242,0),0)</f>
        <v>0</v>
      </c>
      <c r="M49" s="767">
        <f>IF(F242&gt;110,IF(F242&lt;=130,F242,0),0)</f>
        <v>0</v>
      </c>
      <c r="N49" s="767">
        <f>IF(F242&gt;130,IF(F242&lt;=160,F242,0),0)</f>
        <v>0</v>
      </c>
      <c r="O49" s="767">
        <f>IF(F242&gt;160,F242,0)</f>
        <v>0</v>
      </c>
    </row>
    <row r="50" spans="1:15" s="619" customFormat="1" x14ac:dyDescent="0.2">
      <c r="A50"/>
      <c r="B50"/>
      <c r="C50" s="1116" t="s">
        <v>310</v>
      </c>
      <c r="D50" s="1117"/>
      <c r="E50" s="1118"/>
      <c r="F50" s="598" t="s">
        <v>105</v>
      </c>
      <c r="G50" s="614" t="s">
        <v>314</v>
      </c>
      <c r="H50" s="614" t="s">
        <v>315</v>
      </c>
      <c r="I50" s="615" t="s">
        <v>316</v>
      </c>
      <c r="J50"/>
      <c r="K50" s="767">
        <f>IF(F257&lt;=95,F257,0)</f>
        <v>0</v>
      </c>
      <c r="L50" s="767">
        <f>IF(F257&gt;95,IF(F257&lt;=110,F257,0),0)</f>
        <v>0</v>
      </c>
      <c r="M50" s="767">
        <f>IF(F257&gt;110,IF(F257&lt;=130,F257,0),0)</f>
        <v>0</v>
      </c>
      <c r="N50" s="767">
        <f>IF(F257&gt;130,IF(F257&lt;=160,F257,0),0)</f>
        <v>0</v>
      </c>
      <c r="O50" s="767">
        <f>IF(F257&gt;160,F257,0)</f>
        <v>0</v>
      </c>
    </row>
    <row r="51" spans="1:15" s="619" customFormat="1" x14ac:dyDescent="0.2">
      <c r="A51"/>
      <c r="B51"/>
      <c r="C51" s="1109"/>
      <c r="D51" s="1110"/>
      <c r="E51" s="1111"/>
      <c r="F51" s="603"/>
      <c r="G51" s="603"/>
      <c r="H51" s="616"/>
      <c r="I51" s="605"/>
      <c r="J51"/>
      <c r="K51" s="767">
        <f>IF(F272&lt;=95,F272,0)</f>
        <v>0</v>
      </c>
      <c r="L51" s="767">
        <f>IF(F272&gt;95,IF(F272&lt;=110,F272,0),0)</f>
        <v>0</v>
      </c>
      <c r="M51" s="767">
        <f>IF(F272&gt;110,IF(F272&lt;=130,F272,0),0)</f>
        <v>0</v>
      </c>
      <c r="N51" s="767">
        <f>IF(F272&gt;130,IF(F272&lt;=160,F272,0),0)</f>
        <v>0</v>
      </c>
      <c r="O51" s="767">
        <f>IF(F272&gt;160,F272,0)</f>
        <v>0</v>
      </c>
    </row>
    <row r="52" spans="1:15" s="619" customFormat="1" x14ac:dyDescent="0.2">
      <c r="A52"/>
      <c r="B52"/>
      <c r="C52" s="1109"/>
      <c r="D52" s="1110"/>
      <c r="E52" s="1111"/>
      <c r="F52" s="603"/>
      <c r="G52" s="603"/>
      <c r="H52" s="616"/>
      <c r="I52" s="605"/>
      <c r="J52"/>
      <c r="K52" s="767">
        <f>IF(F287&lt;=95,F287,0)</f>
        <v>0</v>
      </c>
      <c r="L52" s="767">
        <f>IF(F287&gt;95,IF(F287&lt;=110,F287,0),0)</f>
        <v>0</v>
      </c>
      <c r="M52" s="767">
        <f>IF(F287&gt;110,IF(F287&lt;=130,F287,0),0)</f>
        <v>0</v>
      </c>
      <c r="N52" s="767">
        <f>IF(F287&gt;130,IF(F287&lt;=160,F287,0),0)</f>
        <v>0</v>
      </c>
      <c r="O52" s="767">
        <f>IF(F287&gt;160,F287,0)</f>
        <v>0</v>
      </c>
    </row>
    <row r="53" spans="1:15" s="619" customFormat="1" x14ac:dyDescent="0.2">
      <c r="A53"/>
      <c r="B53"/>
      <c r="C53" s="1109"/>
      <c r="D53" s="1110"/>
      <c r="E53" s="1111"/>
      <c r="F53" s="603"/>
      <c r="G53" s="603"/>
      <c r="H53" s="616"/>
      <c r="I53" s="605"/>
      <c r="J53"/>
      <c r="K53" s="767">
        <f>IF(F302&lt;=95,F302,0)</f>
        <v>0</v>
      </c>
      <c r="L53" s="767">
        <f>IF(F302&gt;95,IF(F302&lt;=110,F302,0),0)</f>
        <v>0</v>
      </c>
      <c r="M53" s="767">
        <f>IF(F302&gt;110,IF(F302&lt;=130,F302,0),0)</f>
        <v>0</v>
      </c>
      <c r="N53" s="767">
        <f>IF(F302&gt;130,IF(F302&lt;=160,F302,0),0)</f>
        <v>0</v>
      </c>
      <c r="O53" s="767">
        <f>IF(F302&gt;160,F302,0)</f>
        <v>0</v>
      </c>
    </row>
    <row r="54" spans="1:15" s="619" customFormat="1" x14ac:dyDescent="0.2">
      <c r="A54"/>
      <c r="B54"/>
      <c r="C54" s="1109"/>
      <c r="D54" s="1110"/>
      <c r="E54" s="1111"/>
      <c r="F54" s="603"/>
      <c r="G54" s="603"/>
      <c r="H54" s="616"/>
      <c r="I54" s="605"/>
      <c r="J54"/>
      <c r="K54" s="767">
        <f>IF(F317&lt;=95,F317,0)</f>
        <v>0</v>
      </c>
      <c r="L54" s="767">
        <f>IF(F317&gt;95,IF(F317&lt;=110,F317,0),0)</f>
        <v>0</v>
      </c>
      <c r="M54" s="767">
        <f>IF(F317&gt;110,IF(F317&lt;=130,F317,0),0)</f>
        <v>0</v>
      </c>
      <c r="N54" s="767">
        <f>IF(F317&gt;130,IF(F317&lt;=160,F317,0),0)</f>
        <v>0</v>
      </c>
      <c r="O54" s="767">
        <f>IF(F317&gt;160,F317,0)</f>
        <v>0</v>
      </c>
    </row>
    <row r="55" spans="1:15" s="619" customFormat="1" x14ac:dyDescent="0.2">
      <c r="A55"/>
      <c r="B55"/>
      <c r="C55" s="1109"/>
      <c r="D55" s="1110"/>
      <c r="E55" s="1111"/>
      <c r="F55" s="603"/>
      <c r="G55" s="603"/>
      <c r="H55" s="616"/>
      <c r="I55" s="605"/>
      <c r="J55"/>
      <c r="K55" s="767">
        <f>IF(F332&lt;=95,F332,0)</f>
        <v>0</v>
      </c>
      <c r="L55" s="767">
        <f>IF(F332&gt;95,IF(F332&lt;=110,F332,0),0)</f>
        <v>0</v>
      </c>
      <c r="M55" s="767">
        <f>IF(F332&gt;110,IF(F332&lt;=130,F332,0),0)</f>
        <v>0</v>
      </c>
      <c r="N55" s="767">
        <f>IF(F332&gt;130,IF(F332&lt;=160,F332,0),0)</f>
        <v>0</v>
      </c>
      <c r="O55" s="767">
        <f>IF(F332&gt;160,F332,0)</f>
        <v>0</v>
      </c>
    </row>
    <row r="56" spans="1:15" x14ac:dyDescent="0.2">
      <c r="C56" s="1109"/>
      <c r="D56" s="1110"/>
      <c r="E56" s="1111"/>
      <c r="F56" s="603"/>
      <c r="G56" s="603"/>
      <c r="H56" s="616"/>
      <c r="I56" s="605"/>
      <c r="K56" s="767">
        <f>IF(F347&lt;=95,F347,0)</f>
        <v>0</v>
      </c>
      <c r="L56" s="767">
        <f>IF(F347&gt;95,IF(F347&lt;=110,F347,0),0)</f>
        <v>0</v>
      </c>
      <c r="M56" s="767">
        <f>IF(F347&gt;110,IF(F347&lt;=130,F347,0),0)</f>
        <v>0</v>
      </c>
      <c r="N56" s="767">
        <f>IF(F347&gt;130,IF(F347&lt;=160,F347,0),0)</f>
        <v>0</v>
      </c>
      <c r="O56" s="767">
        <f>IF(F347&gt;160,F347,0)</f>
        <v>0</v>
      </c>
    </row>
    <row r="57" spans="1:15" x14ac:dyDescent="0.2">
      <c r="C57" s="1109"/>
      <c r="D57" s="1110"/>
      <c r="E57" s="1111"/>
      <c r="F57" s="603"/>
      <c r="G57" s="603"/>
      <c r="H57" s="616"/>
      <c r="I57" s="605"/>
      <c r="K57" s="767">
        <f>IF(F362&lt;=95,F362,0)</f>
        <v>0</v>
      </c>
      <c r="L57" s="767">
        <f>IF(345&gt;95,IF(F362&lt;=110,F362,0),0)</f>
        <v>0</v>
      </c>
      <c r="M57" s="767">
        <f>IF(F362&gt;110,IF(F362&lt;=130,F362,0),0)</f>
        <v>0</v>
      </c>
      <c r="N57" s="767">
        <f>IF(F362&gt;130,IF(F362&lt;=160,F362,0),0)</f>
        <v>0</v>
      </c>
      <c r="O57" s="767">
        <f>IF(F362&gt;160,F362,0)</f>
        <v>0</v>
      </c>
    </row>
    <row r="58" spans="1:15" x14ac:dyDescent="0.2">
      <c r="C58" s="1109"/>
      <c r="D58" s="1110"/>
      <c r="E58" s="1111"/>
      <c r="F58" s="603"/>
      <c r="G58" s="603"/>
      <c r="H58" s="616"/>
      <c r="I58" s="605"/>
      <c r="K58" s="767">
        <f>IF(F377&lt;=95,F377,0)</f>
        <v>0</v>
      </c>
      <c r="L58" s="767">
        <f>IF(F377&gt;95,IF(F377&lt;=110,F377,0),0)</f>
        <v>0</v>
      </c>
      <c r="M58" s="767">
        <f>IF(F377&gt;110,IF(F377&lt;=130,F377,0),0)</f>
        <v>0</v>
      </c>
      <c r="N58" s="767">
        <f>IF(F377&gt;130,IF(F377&lt;=160,F377,0),0)</f>
        <v>0</v>
      </c>
      <c r="O58" s="767">
        <f>IF(F377&gt;160,F377,0)</f>
        <v>0</v>
      </c>
    </row>
    <row r="59" spans="1:15" x14ac:dyDescent="0.2">
      <c r="C59" s="1109"/>
      <c r="D59" s="1110"/>
      <c r="E59" s="1111"/>
      <c r="F59" s="603"/>
      <c r="G59" s="603"/>
      <c r="H59" s="616"/>
      <c r="I59" s="605"/>
      <c r="K59" s="767">
        <f>IF(F392&lt;=95,F392,0)</f>
        <v>0</v>
      </c>
      <c r="L59" s="767">
        <f>IF(F392&gt;95,IF(F392&lt;=110,F392,0),0)</f>
        <v>0</v>
      </c>
      <c r="M59" s="767">
        <f>IF(F392&gt;110,IF(F392&lt;=130,F392,0),0)</f>
        <v>0</v>
      </c>
      <c r="N59" s="767">
        <f>IF(F392&gt;130,IF(F392&lt;=160,F392,0),0)</f>
        <v>0</v>
      </c>
      <c r="O59" s="767">
        <f>IF(F392&gt;160,F392,0)</f>
        <v>0</v>
      </c>
    </row>
    <row r="60" spans="1:15" x14ac:dyDescent="0.2">
      <c r="C60" s="1109"/>
      <c r="D60" s="1110"/>
      <c r="E60" s="1111"/>
      <c r="F60" s="603"/>
      <c r="G60" s="603"/>
      <c r="H60" s="616"/>
      <c r="I60" s="605"/>
      <c r="K60" s="767">
        <f>IF(F407&lt;=95,F407,0)</f>
        <v>0</v>
      </c>
      <c r="L60" s="767">
        <f>IF(F407&gt;95,IF(F407&lt;=110,F407,0),0)</f>
        <v>0</v>
      </c>
      <c r="M60" s="767">
        <f>IF(F407&gt;110,IF(F407&lt;=130,F407,0),0)</f>
        <v>0</v>
      </c>
      <c r="N60" s="767">
        <f>IF(F407&gt;130,IF(F407&lt;=160,F407,0),0)</f>
        <v>0</v>
      </c>
      <c r="O60" s="767">
        <f>IF(F407&gt;160,F407,0)</f>
        <v>0</v>
      </c>
    </row>
    <row r="61" spans="1:15" ht="13.5" thickBot="1" x14ac:dyDescent="0.25">
      <c r="C61" s="1112"/>
      <c r="D61" s="1113"/>
      <c r="E61" s="1114"/>
      <c r="F61" s="606"/>
      <c r="G61" s="606"/>
      <c r="H61" s="617"/>
      <c r="I61" s="607"/>
      <c r="K61" s="768">
        <f>SUM(K36:K60)</f>
        <v>0</v>
      </c>
      <c r="L61" s="768">
        <f>SUM(L36:L60)</f>
        <v>0</v>
      </c>
      <c r="M61" s="768">
        <f>SUM(M36:M60)</f>
        <v>0</v>
      </c>
      <c r="N61" s="768">
        <f>SUM(N36:N60)</f>
        <v>0</v>
      </c>
      <c r="O61" s="768">
        <f>SUM(O36:O60)</f>
        <v>0</v>
      </c>
    </row>
    <row r="62" spans="1:15" ht="15.75" thickBot="1" x14ac:dyDescent="0.3">
      <c r="E62" s="601" t="s">
        <v>99</v>
      </c>
      <c r="F62" s="766">
        <f>SUM(F51:F61)</f>
        <v>0</v>
      </c>
      <c r="G62" s="766">
        <f>SUM(G51:G61)</f>
        <v>0</v>
      </c>
      <c r="H62" s="769">
        <f>SUM(H51:H61)</f>
        <v>0</v>
      </c>
      <c r="I62" s="766">
        <f>SUM(I51:I61)</f>
        <v>0</v>
      </c>
      <c r="K62" s="611"/>
      <c r="L62" s="611"/>
      <c r="M62" s="611"/>
      <c r="N62" s="611"/>
      <c r="O62" s="611"/>
    </row>
    <row r="63" spans="1:15" x14ac:dyDescent="0.2">
      <c r="K63" s="611"/>
      <c r="L63" s="611"/>
      <c r="M63" s="611"/>
      <c r="N63" s="611"/>
      <c r="O63" s="611"/>
    </row>
    <row r="64" spans="1:15" ht="15.75" thickBot="1" x14ac:dyDescent="0.3">
      <c r="C64" s="1115" t="s">
        <v>311</v>
      </c>
      <c r="D64" s="1115"/>
      <c r="E64" s="597">
        <v>3</v>
      </c>
      <c r="F64" s="601" t="s">
        <v>309</v>
      </c>
      <c r="G64" s="597"/>
      <c r="K64" s="611"/>
      <c r="L64" s="611"/>
      <c r="M64" s="611"/>
      <c r="N64" s="611"/>
      <c r="O64" s="611"/>
    </row>
    <row r="65" spans="3:15" x14ac:dyDescent="0.2">
      <c r="C65" s="1116" t="s">
        <v>310</v>
      </c>
      <c r="D65" s="1117"/>
      <c r="E65" s="1118"/>
      <c r="F65" s="598" t="s">
        <v>105</v>
      </c>
      <c r="G65" s="614" t="s">
        <v>314</v>
      </c>
      <c r="H65" s="614" t="s">
        <v>315</v>
      </c>
      <c r="I65" s="615" t="s">
        <v>316</v>
      </c>
      <c r="K65" s="611"/>
      <c r="L65" s="611"/>
      <c r="M65" s="611"/>
      <c r="N65" s="611"/>
      <c r="O65" s="611"/>
    </row>
    <row r="66" spans="3:15" x14ac:dyDescent="0.2">
      <c r="C66" s="1109"/>
      <c r="D66" s="1110"/>
      <c r="E66" s="1111"/>
      <c r="F66" s="603"/>
      <c r="G66" s="603"/>
      <c r="H66" s="603"/>
      <c r="I66" s="605"/>
      <c r="K66" s="611"/>
      <c r="L66" s="611"/>
      <c r="M66" s="611"/>
      <c r="N66" s="611"/>
      <c r="O66" s="611"/>
    </row>
    <row r="67" spans="3:15" x14ac:dyDescent="0.2">
      <c r="C67" s="1109"/>
      <c r="D67" s="1110"/>
      <c r="E67" s="1111"/>
      <c r="F67" s="603"/>
      <c r="G67" s="603"/>
      <c r="H67" s="603"/>
      <c r="I67" s="605"/>
      <c r="K67" s="622"/>
      <c r="L67" s="622"/>
      <c r="M67" s="622"/>
      <c r="N67" s="622"/>
      <c r="O67" s="622"/>
    </row>
    <row r="68" spans="3:15" ht="12.75" customHeight="1" x14ac:dyDescent="0.2">
      <c r="C68" s="1109"/>
      <c r="D68" s="1110"/>
      <c r="E68" s="1111"/>
      <c r="F68" s="603"/>
      <c r="G68" s="603"/>
      <c r="H68" s="603"/>
      <c r="I68" s="605"/>
      <c r="K68" s="1125" t="s">
        <v>317</v>
      </c>
      <c r="L68" s="1126"/>
      <c r="M68" s="1126"/>
      <c r="N68" s="1127"/>
      <c r="O68" s="1123">
        <f>E32+G47+G62+G77+G92+G107+G122+G137+G152+G167+G182+G197+G212+G227+G242+G257+G272+G287+G302+G317+G332+G347+G362+G377+G392+G407</f>
        <v>0</v>
      </c>
    </row>
    <row r="69" spans="3:15" x14ac:dyDescent="0.2">
      <c r="C69" s="1109"/>
      <c r="D69" s="1110"/>
      <c r="E69" s="1111"/>
      <c r="F69" s="603"/>
      <c r="G69" s="603"/>
      <c r="H69" s="603"/>
      <c r="I69" s="605"/>
      <c r="K69" s="1128"/>
      <c r="L69" s="1129"/>
      <c r="M69" s="1129"/>
      <c r="N69" s="1130"/>
      <c r="O69" s="1124"/>
    </row>
    <row r="70" spans="3:15" ht="12.75" customHeight="1" x14ac:dyDescent="0.2">
      <c r="C70" s="1109"/>
      <c r="D70" s="1110"/>
      <c r="E70" s="1111"/>
      <c r="F70" s="603"/>
      <c r="G70" s="603"/>
      <c r="H70" s="603"/>
      <c r="I70" s="605"/>
      <c r="K70" s="1125" t="s">
        <v>318</v>
      </c>
      <c r="L70" s="1126"/>
      <c r="M70" s="1126"/>
      <c r="N70" s="1127"/>
      <c r="O70" s="1123">
        <f>F32+H47+H62+H77+H92+H107+H122+H137+H152+H167+H182+H197+H212+H227+H242+H257+H272+H287+H302+H317+H332+H347+H362+H377+H392+H407</f>
        <v>0</v>
      </c>
    </row>
    <row r="71" spans="3:15" x14ac:dyDescent="0.2">
      <c r="C71" s="1109"/>
      <c r="D71" s="1110"/>
      <c r="E71" s="1111"/>
      <c r="F71" s="603"/>
      <c r="G71" s="603"/>
      <c r="H71" s="603"/>
      <c r="I71" s="605"/>
      <c r="K71" s="1128"/>
      <c r="L71" s="1129"/>
      <c r="M71" s="1129"/>
      <c r="N71" s="1130"/>
      <c r="O71" s="1124"/>
    </row>
    <row r="72" spans="3:15" x14ac:dyDescent="0.2">
      <c r="C72" s="1109"/>
      <c r="D72" s="1110"/>
      <c r="E72" s="1111"/>
      <c r="F72" s="603"/>
      <c r="G72" s="603"/>
      <c r="H72" s="603"/>
      <c r="I72" s="605"/>
      <c r="K72" s="1131" t="s">
        <v>319</v>
      </c>
      <c r="L72" s="1131"/>
      <c r="M72" s="1131"/>
      <c r="N72" s="1131"/>
      <c r="O72" s="770">
        <f>G32+I47+I62+I77+I92+I107+I122+I137+I152+I167+I182+I197+I212+I227+I242+I257+I272+I287+I302+I317+I332+I347+I362+I377+I392+I407</f>
        <v>0</v>
      </c>
    </row>
    <row r="73" spans="3:15" x14ac:dyDescent="0.2">
      <c r="C73" s="1109"/>
      <c r="D73" s="1110"/>
      <c r="E73" s="1111"/>
      <c r="F73" s="603"/>
      <c r="G73" s="603"/>
      <c r="H73" s="603"/>
      <c r="I73" s="605"/>
      <c r="K73" s="611"/>
      <c r="L73" s="611"/>
      <c r="M73" s="611"/>
      <c r="N73" s="611"/>
      <c r="O73" s="611"/>
    </row>
    <row r="74" spans="3:15" x14ac:dyDescent="0.2">
      <c r="C74" s="1109"/>
      <c r="D74" s="1110"/>
      <c r="E74" s="1111"/>
      <c r="F74" s="603"/>
      <c r="G74" s="603"/>
      <c r="H74" s="603"/>
      <c r="I74" s="605"/>
      <c r="K74" s="1122" t="s">
        <v>330</v>
      </c>
      <c r="L74" s="1122"/>
      <c r="M74" s="1122"/>
      <c r="N74" s="1122"/>
      <c r="O74" s="771">
        <f>'Determinazione classe'!D6+'Determinazione classe'!D7+'Determinazione classe'!D8+'Determinazione classe'!D9+'Determinazione classe'!D10</f>
        <v>0</v>
      </c>
    </row>
    <row r="75" spans="3:15" x14ac:dyDescent="0.2">
      <c r="C75" s="1109"/>
      <c r="D75" s="1110"/>
      <c r="E75" s="1111"/>
      <c r="F75" s="603"/>
      <c r="G75" s="603"/>
      <c r="H75" s="603"/>
      <c r="I75" s="605"/>
      <c r="K75" s="1122" t="s">
        <v>331</v>
      </c>
      <c r="L75" s="1122"/>
      <c r="M75" s="1122"/>
      <c r="N75" s="1122"/>
      <c r="O75" s="771">
        <f>dimensione_planimetrica_1_totale+dimensione_planimetrica_2_totale+dimensione_planimetrica_3_totale+dimensione_planimetrica_4_totale+dimensione_planimetrica_5_totale</f>
        <v>0</v>
      </c>
    </row>
    <row r="76" spans="3:15" ht="13.5" thickBot="1" x14ac:dyDescent="0.25">
      <c r="C76" s="1112"/>
      <c r="D76" s="1113"/>
      <c r="E76" s="1114"/>
      <c r="F76" s="606"/>
      <c r="G76" s="606"/>
      <c r="H76" s="606"/>
      <c r="I76" s="607"/>
      <c r="K76" s="1122" t="s">
        <v>332</v>
      </c>
      <c r="L76" s="1122"/>
      <c r="M76" s="1122"/>
      <c r="N76" s="1122"/>
      <c r="O76" s="771">
        <f>dimensione_planimetrica_snr1_totale+dimensione_planimetrica_snr2_totale+dimensione_planimetrica_snr3_totale</f>
        <v>0</v>
      </c>
    </row>
    <row r="77" spans="3:15" ht="15.75" thickBot="1" x14ac:dyDescent="0.3">
      <c r="E77" s="601" t="s">
        <v>99</v>
      </c>
      <c r="F77" s="766">
        <f>SUM(F66:F76)</f>
        <v>0</v>
      </c>
      <c r="G77" s="766">
        <f>SUM(G66:G76)</f>
        <v>0</v>
      </c>
      <c r="H77" s="766">
        <f>SUM(H66:H76)</f>
        <v>0</v>
      </c>
      <c r="I77" s="766">
        <f>SUM(I66:I76)</f>
        <v>0</v>
      </c>
      <c r="K77" s="243"/>
      <c r="L77" s="243"/>
      <c r="M77" s="243"/>
      <c r="N77" s="243"/>
      <c r="O77" s="627"/>
    </row>
    <row r="78" spans="3:15" x14ac:dyDescent="0.2"/>
    <row r="79" spans="3:15" ht="15.75" thickBot="1" x14ac:dyDescent="0.3">
      <c r="C79" s="1115" t="s">
        <v>311</v>
      </c>
      <c r="D79" s="1115"/>
      <c r="E79" s="597">
        <v>4</v>
      </c>
      <c r="F79" s="601" t="s">
        <v>309</v>
      </c>
      <c r="G79" s="597"/>
    </row>
    <row r="80" spans="3:15" x14ac:dyDescent="0.2">
      <c r="C80" s="1116" t="s">
        <v>310</v>
      </c>
      <c r="D80" s="1117"/>
      <c r="E80" s="1118"/>
      <c r="F80" s="598" t="s">
        <v>105</v>
      </c>
      <c r="G80" s="614" t="s">
        <v>314</v>
      </c>
      <c r="H80" s="614" t="s">
        <v>315</v>
      </c>
      <c r="I80" s="615" t="s">
        <v>316</v>
      </c>
    </row>
    <row r="81" spans="3:9" x14ac:dyDescent="0.2">
      <c r="C81" s="1109"/>
      <c r="D81" s="1110"/>
      <c r="E81" s="1111"/>
      <c r="F81" s="603"/>
      <c r="G81" s="603"/>
      <c r="H81" s="603"/>
      <c r="I81" s="605"/>
    </row>
    <row r="82" spans="3:9" x14ac:dyDescent="0.2">
      <c r="C82" s="1109"/>
      <c r="D82" s="1110"/>
      <c r="E82" s="1111"/>
      <c r="F82" s="603"/>
      <c r="G82" s="603"/>
      <c r="H82" s="603"/>
      <c r="I82" s="605"/>
    </row>
    <row r="83" spans="3:9" x14ac:dyDescent="0.2">
      <c r="C83" s="1109"/>
      <c r="D83" s="1110"/>
      <c r="E83" s="1111"/>
      <c r="F83" s="603"/>
      <c r="G83" s="603"/>
      <c r="H83" s="603"/>
      <c r="I83" s="605"/>
    </row>
    <row r="84" spans="3:9" x14ac:dyDescent="0.2">
      <c r="C84" s="1109"/>
      <c r="D84" s="1110"/>
      <c r="E84" s="1111"/>
      <c r="F84" s="603"/>
      <c r="G84" s="603"/>
      <c r="H84" s="603"/>
      <c r="I84" s="605"/>
    </row>
    <row r="85" spans="3:9" x14ac:dyDescent="0.2">
      <c r="C85" s="1109"/>
      <c r="D85" s="1110"/>
      <c r="E85" s="1111"/>
      <c r="F85" s="603"/>
      <c r="G85" s="603"/>
      <c r="H85" s="603"/>
      <c r="I85" s="605"/>
    </row>
    <row r="86" spans="3:9" x14ac:dyDescent="0.2">
      <c r="C86" s="1109"/>
      <c r="D86" s="1110"/>
      <c r="E86" s="1111"/>
      <c r="F86" s="603"/>
      <c r="G86" s="603"/>
      <c r="H86" s="603"/>
      <c r="I86" s="605"/>
    </row>
    <row r="87" spans="3:9" x14ac:dyDescent="0.2">
      <c r="C87" s="1109"/>
      <c r="D87" s="1110"/>
      <c r="E87" s="1111"/>
      <c r="F87" s="603"/>
      <c r="G87" s="603"/>
      <c r="H87" s="603"/>
      <c r="I87" s="605"/>
    </row>
    <row r="88" spans="3:9" x14ac:dyDescent="0.2">
      <c r="C88" s="1109"/>
      <c r="D88" s="1110"/>
      <c r="E88" s="1111"/>
      <c r="F88" s="603"/>
      <c r="G88" s="603"/>
      <c r="H88" s="603"/>
      <c r="I88" s="605"/>
    </row>
    <row r="89" spans="3:9" x14ac:dyDescent="0.2">
      <c r="C89" s="1109"/>
      <c r="D89" s="1110"/>
      <c r="E89" s="1111"/>
      <c r="F89" s="603"/>
      <c r="G89" s="603"/>
      <c r="H89" s="603"/>
      <c r="I89" s="605"/>
    </row>
    <row r="90" spans="3:9" x14ac:dyDescent="0.2">
      <c r="C90" s="1109"/>
      <c r="D90" s="1110"/>
      <c r="E90" s="1111"/>
      <c r="F90" s="603"/>
      <c r="G90" s="603"/>
      <c r="H90" s="603"/>
      <c r="I90" s="605"/>
    </row>
    <row r="91" spans="3:9" ht="13.5" thickBot="1" x14ac:dyDescent="0.25">
      <c r="C91" s="1112"/>
      <c r="D91" s="1113"/>
      <c r="E91" s="1114"/>
      <c r="F91" s="606"/>
      <c r="G91" s="606"/>
      <c r="H91" s="606"/>
      <c r="I91" s="607"/>
    </row>
    <row r="92" spans="3:9" ht="15.75" thickBot="1" x14ac:dyDescent="0.3">
      <c r="E92" s="601" t="s">
        <v>99</v>
      </c>
      <c r="F92" s="766">
        <f>SUM(F81:F91)</f>
        <v>0</v>
      </c>
      <c r="G92" s="766">
        <f>SUM(G81:G91)</f>
        <v>0</v>
      </c>
      <c r="H92" s="766">
        <f>SUM(H81:H91)</f>
        <v>0</v>
      </c>
      <c r="I92" s="766">
        <f>SUM(I81:I91)</f>
        <v>0</v>
      </c>
    </row>
    <row r="93" spans="3:9" x14ac:dyDescent="0.2"/>
    <row r="94" spans="3:9" ht="15.75" thickBot="1" x14ac:dyDescent="0.3">
      <c r="C94" s="1115" t="s">
        <v>311</v>
      </c>
      <c r="D94" s="1115"/>
      <c r="E94" s="597">
        <v>5</v>
      </c>
      <c r="F94" s="601" t="s">
        <v>309</v>
      </c>
      <c r="G94" s="597"/>
    </row>
    <row r="95" spans="3:9" x14ac:dyDescent="0.2">
      <c r="C95" s="1116" t="s">
        <v>310</v>
      </c>
      <c r="D95" s="1117"/>
      <c r="E95" s="1118"/>
      <c r="F95" s="598" t="s">
        <v>105</v>
      </c>
      <c r="G95" s="614" t="s">
        <v>314</v>
      </c>
      <c r="H95" s="614" t="s">
        <v>315</v>
      </c>
      <c r="I95" s="615" t="s">
        <v>316</v>
      </c>
    </row>
    <row r="96" spans="3:9" x14ac:dyDescent="0.2">
      <c r="C96" s="1109"/>
      <c r="D96" s="1110"/>
      <c r="E96" s="1111"/>
      <c r="F96" s="603"/>
      <c r="G96" s="603"/>
      <c r="H96" s="603"/>
      <c r="I96" s="605"/>
    </row>
    <row r="97" spans="3:9" x14ac:dyDescent="0.2">
      <c r="C97" s="1109"/>
      <c r="D97" s="1110"/>
      <c r="E97" s="1111"/>
      <c r="F97" s="603"/>
      <c r="G97" s="603"/>
      <c r="H97" s="603"/>
      <c r="I97" s="605"/>
    </row>
    <row r="98" spans="3:9" x14ac:dyDescent="0.2">
      <c r="C98" s="1109"/>
      <c r="D98" s="1110"/>
      <c r="E98" s="1111"/>
      <c r="F98" s="603"/>
      <c r="G98" s="603"/>
      <c r="H98" s="603"/>
      <c r="I98" s="605"/>
    </row>
    <row r="99" spans="3:9" x14ac:dyDescent="0.2">
      <c r="C99" s="1109"/>
      <c r="D99" s="1110"/>
      <c r="E99" s="1111"/>
      <c r="F99" s="603"/>
      <c r="G99" s="603"/>
      <c r="H99" s="603"/>
      <c r="I99" s="605"/>
    </row>
    <row r="100" spans="3:9" x14ac:dyDescent="0.2">
      <c r="C100" s="1109"/>
      <c r="D100" s="1110"/>
      <c r="E100" s="1111"/>
      <c r="F100" s="603"/>
      <c r="G100" s="603"/>
      <c r="H100" s="603"/>
      <c r="I100" s="605"/>
    </row>
    <row r="101" spans="3:9" x14ac:dyDescent="0.2">
      <c r="C101" s="1109"/>
      <c r="D101" s="1110"/>
      <c r="E101" s="1111"/>
      <c r="F101" s="603"/>
      <c r="G101" s="603"/>
      <c r="H101" s="603"/>
      <c r="I101" s="605"/>
    </row>
    <row r="102" spans="3:9" x14ac:dyDescent="0.2">
      <c r="C102" s="1109"/>
      <c r="D102" s="1110"/>
      <c r="E102" s="1111"/>
      <c r="F102" s="603"/>
      <c r="G102" s="603"/>
      <c r="H102" s="603"/>
      <c r="I102" s="605"/>
    </row>
    <row r="103" spans="3:9" x14ac:dyDescent="0.2">
      <c r="C103" s="1109"/>
      <c r="D103" s="1110"/>
      <c r="E103" s="1111"/>
      <c r="F103" s="603"/>
      <c r="G103" s="603"/>
      <c r="H103" s="603"/>
      <c r="I103" s="605"/>
    </row>
    <row r="104" spans="3:9" x14ac:dyDescent="0.2">
      <c r="C104" s="1109"/>
      <c r="D104" s="1110"/>
      <c r="E104" s="1111"/>
      <c r="F104" s="603"/>
      <c r="G104" s="603"/>
      <c r="H104" s="603"/>
      <c r="I104" s="605"/>
    </row>
    <row r="105" spans="3:9" x14ac:dyDescent="0.2">
      <c r="C105" s="1109"/>
      <c r="D105" s="1110"/>
      <c r="E105" s="1111"/>
      <c r="F105" s="603"/>
      <c r="G105" s="603"/>
      <c r="H105" s="603"/>
      <c r="I105" s="605"/>
    </row>
    <row r="106" spans="3:9" ht="13.5" thickBot="1" x14ac:dyDescent="0.25">
      <c r="C106" s="1112"/>
      <c r="D106" s="1113"/>
      <c r="E106" s="1114"/>
      <c r="F106" s="606"/>
      <c r="G106" s="606"/>
      <c r="H106" s="606"/>
      <c r="I106" s="607"/>
    </row>
    <row r="107" spans="3:9" ht="15.75" thickBot="1" x14ac:dyDescent="0.3">
      <c r="E107" s="601" t="s">
        <v>99</v>
      </c>
      <c r="F107" s="766">
        <f>SUM(F96:F106)</f>
        <v>0</v>
      </c>
      <c r="G107" s="766">
        <f>SUM(G96:G106)</f>
        <v>0</v>
      </c>
      <c r="H107" s="766">
        <f>SUM(H96:H106)</f>
        <v>0</v>
      </c>
      <c r="I107" s="766">
        <f>SUM(I96:I106)</f>
        <v>0</v>
      </c>
    </row>
    <row r="108" spans="3:9" x14ac:dyDescent="0.2"/>
    <row r="109" spans="3:9" ht="15.75" thickBot="1" x14ac:dyDescent="0.3">
      <c r="C109" s="1115" t="s">
        <v>311</v>
      </c>
      <c r="D109" s="1115"/>
      <c r="E109" s="597">
        <v>6</v>
      </c>
      <c r="F109" s="601" t="s">
        <v>309</v>
      </c>
      <c r="G109" s="597"/>
    </row>
    <row r="110" spans="3:9" x14ac:dyDescent="0.2">
      <c r="C110" s="1116" t="s">
        <v>310</v>
      </c>
      <c r="D110" s="1117"/>
      <c r="E110" s="1118"/>
      <c r="F110" s="598" t="s">
        <v>105</v>
      </c>
      <c r="G110" s="614" t="s">
        <v>314</v>
      </c>
      <c r="H110" s="614" t="s">
        <v>315</v>
      </c>
      <c r="I110" s="615" t="s">
        <v>316</v>
      </c>
    </row>
    <row r="111" spans="3:9" x14ac:dyDescent="0.2">
      <c r="C111" s="1109"/>
      <c r="D111" s="1110"/>
      <c r="E111" s="1111"/>
      <c r="F111" s="603"/>
      <c r="G111" s="603"/>
      <c r="H111" s="603"/>
      <c r="I111" s="605"/>
    </row>
    <row r="112" spans="3:9" x14ac:dyDescent="0.2">
      <c r="C112" s="1109"/>
      <c r="D112" s="1110"/>
      <c r="E112" s="1111"/>
      <c r="F112" s="603"/>
      <c r="G112" s="603"/>
      <c r="H112" s="603"/>
      <c r="I112" s="605"/>
    </row>
    <row r="113" spans="3:9" x14ac:dyDescent="0.2">
      <c r="C113" s="1109"/>
      <c r="D113" s="1110"/>
      <c r="E113" s="1111"/>
      <c r="F113" s="603"/>
      <c r="G113" s="603"/>
      <c r="H113" s="603"/>
      <c r="I113" s="605"/>
    </row>
    <row r="114" spans="3:9" x14ac:dyDescent="0.2">
      <c r="C114" s="1109"/>
      <c r="D114" s="1110"/>
      <c r="E114" s="1111"/>
      <c r="F114" s="603"/>
      <c r="G114" s="603"/>
      <c r="H114" s="603"/>
      <c r="I114" s="605"/>
    </row>
    <row r="115" spans="3:9" x14ac:dyDescent="0.2">
      <c r="C115" s="1109"/>
      <c r="D115" s="1110"/>
      <c r="E115" s="1111"/>
      <c r="F115" s="603"/>
      <c r="G115" s="603"/>
      <c r="H115" s="603"/>
      <c r="I115" s="605"/>
    </row>
    <row r="116" spans="3:9" x14ac:dyDescent="0.2">
      <c r="C116" s="1109"/>
      <c r="D116" s="1110"/>
      <c r="E116" s="1111"/>
      <c r="F116" s="603"/>
      <c r="G116" s="603"/>
      <c r="H116" s="603"/>
      <c r="I116" s="605"/>
    </row>
    <row r="117" spans="3:9" x14ac:dyDescent="0.2">
      <c r="C117" s="1109"/>
      <c r="D117" s="1110"/>
      <c r="E117" s="1111"/>
      <c r="F117" s="603"/>
      <c r="G117" s="603"/>
      <c r="H117" s="603"/>
      <c r="I117" s="605"/>
    </row>
    <row r="118" spans="3:9" x14ac:dyDescent="0.2">
      <c r="C118" s="1109"/>
      <c r="D118" s="1110"/>
      <c r="E118" s="1111"/>
      <c r="F118" s="603"/>
      <c r="G118" s="603"/>
      <c r="H118" s="603"/>
      <c r="I118" s="605"/>
    </row>
    <row r="119" spans="3:9" x14ac:dyDescent="0.2">
      <c r="C119" s="1109"/>
      <c r="D119" s="1110"/>
      <c r="E119" s="1111"/>
      <c r="F119" s="603"/>
      <c r="G119" s="603"/>
      <c r="H119" s="603"/>
      <c r="I119" s="605"/>
    </row>
    <row r="120" spans="3:9" x14ac:dyDescent="0.2">
      <c r="C120" s="1109"/>
      <c r="D120" s="1110"/>
      <c r="E120" s="1111"/>
      <c r="F120" s="603"/>
      <c r="G120" s="603"/>
      <c r="H120" s="603"/>
      <c r="I120" s="605"/>
    </row>
    <row r="121" spans="3:9" ht="13.5" thickBot="1" x14ac:dyDescent="0.25">
      <c r="C121" s="1112"/>
      <c r="D121" s="1113"/>
      <c r="E121" s="1114"/>
      <c r="F121" s="606"/>
      <c r="G121" s="606"/>
      <c r="H121" s="606"/>
      <c r="I121" s="607"/>
    </row>
    <row r="122" spans="3:9" ht="15.75" thickBot="1" x14ac:dyDescent="0.3">
      <c r="E122" s="601" t="s">
        <v>99</v>
      </c>
      <c r="F122" s="766">
        <f>SUM(F111:F121)</f>
        <v>0</v>
      </c>
      <c r="G122" s="766">
        <f>SUM(G111:G121)</f>
        <v>0</v>
      </c>
      <c r="H122" s="766">
        <f>SUM(H111:H121)</f>
        <v>0</v>
      </c>
      <c r="I122" s="766">
        <f>SUM(I111:I121)</f>
        <v>0</v>
      </c>
    </row>
    <row r="123" spans="3:9" x14ac:dyDescent="0.2"/>
    <row r="124" spans="3:9" ht="15.75" thickBot="1" x14ac:dyDescent="0.3">
      <c r="C124" s="1115" t="s">
        <v>311</v>
      </c>
      <c r="D124" s="1115"/>
      <c r="E124" s="597">
        <v>7</v>
      </c>
      <c r="F124" s="601" t="s">
        <v>309</v>
      </c>
      <c r="G124" s="597"/>
    </row>
    <row r="125" spans="3:9" x14ac:dyDescent="0.2">
      <c r="C125" s="1116" t="s">
        <v>310</v>
      </c>
      <c r="D125" s="1117"/>
      <c r="E125" s="1118"/>
      <c r="F125" s="598" t="s">
        <v>105</v>
      </c>
      <c r="G125" s="614" t="s">
        <v>314</v>
      </c>
      <c r="H125" s="614" t="s">
        <v>315</v>
      </c>
      <c r="I125" s="615" t="s">
        <v>316</v>
      </c>
    </row>
    <row r="126" spans="3:9" x14ac:dyDescent="0.2">
      <c r="C126" s="1109"/>
      <c r="D126" s="1110"/>
      <c r="E126" s="1111"/>
      <c r="F126" s="603"/>
      <c r="G126" s="603"/>
      <c r="H126" s="603"/>
      <c r="I126" s="605"/>
    </row>
    <row r="127" spans="3:9" x14ac:dyDescent="0.2">
      <c r="C127" s="1109"/>
      <c r="D127" s="1110"/>
      <c r="E127" s="1111"/>
      <c r="F127" s="603"/>
      <c r="G127" s="603"/>
      <c r="H127" s="603"/>
      <c r="I127" s="605"/>
    </row>
    <row r="128" spans="3:9" x14ac:dyDescent="0.2">
      <c r="C128" s="1109"/>
      <c r="D128" s="1110"/>
      <c r="E128" s="1111"/>
      <c r="F128" s="603"/>
      <c r="G128" s="603"/>
      <c r="H128" s="603"/>
      <c r="I128" s="605"/>
    </row>
    <row r="129" spans="3:9" x14ac:dyDescent="0.2">
      <c r="C129" s="1109"/>
      <c r="D129" s="1110"/>
      <c r="E129" s="1111"/>
      <c r="F129" s="603"/>
      <c r="G129" s="603"/>
      <c r="H129" s="603"/>
      <c r="I129" s="605"/>
    </row>
    <row r="130" spans="3:9" x14ac:dyDescent="0.2">
      <c r="C130" s="1109"/>
      <c r="D130" s="1110"/>
      <c r="E130" s="1111"/>
      <c r="F130" s="603"/>
      <c r="G130" s="603"/>
      <c r="H130" s="603"/>
      <c r="I130" s="605"/>
    </row>
    <row r="131" spans="3:9" x14ac:dyDescent="0.2">
      <c r="C131" s="1109"/>
      <c r="D131" s="1110"/>
      <c r="E131" s="1111"/>
      <c r="F131" s="603"/>
      <c r="G131" s="603"/>
      <c r="H131" s="603"/>
      <c r="I131" s="605"/>
    </row>
    <row r="132" spans="3:9" x14ac:dyDescent="0.2">
      <c r="C132" s="1109"/>
      <c r="D132" s="1110"/>
      <c r="E132" s="1111"/>
      <c r="F132" s="603"/>
      <c r="G132" s="603"/>
      <c r="H132" s="603"/>
      <c r="I132" s="605"/>
    </row>
    <row r="133" spans="3:9" x14ac:dyDescent="0.2">
      <c r="C133" s="1109"/>
      <c r="D133" s="1110"/>
      <c r="E133" s="1111"/>
      <c r="F133" s="603"/>
      <c r="G133" s="603"/>
      <c r="H133" s="603"/>
      <c r="I133" s="605"/>
    </row>
    <row r="134" spans="3:9" x14ac:dyDescent="0.2">
      <c r="C134" s="1109"/>
      <c r="D134" s="1110"/>
      <c r="E134" s="1111"/>
      <c r="F134" s="603"/>
      <c r="G134" s="603"/>
      <c r="H134" s="603"/>
      <c r="I134" s="605"/>
    </row>
    <row r="135" spans="3:9" x14ac:dyDescent="0.2">
      <c r="C135" s="1109"/>
      <c r="D135" s="1110"/>
      <c r="E135" s="1111"/>
      <c r="F135" s="603"/>
      <c r="G135" s="603"/>
      <c r="H135" s="603"/>
      <c r="I135" s="605"/>
    </row>
    <row r="136" spans="3:9" ht="13.5" thickBot="1" x14ac:dyDescent="0.25">
      <c r="C136" s="1112"/>
      <c r="D136" s="1113"/>
      <c r="E136" s="1114"/>
      <c r="F136" s="606"/>
      <c r="G136" s="606"/>
      <c r="H136" s="606"/>
      <c r="I136" s="607"/>
    </row>
    <row r="137" spans="3:9" ht="15.75" thickBot="1" x14ac:dyDescent="0.3">
      <c r="E137" s="601" t="s">
        <v>99</v>
      </c>
      <c r="F137" s="766">
        <f>SUM(F126:F136)</f>
        <v>0</v>
      </c>
      <c r="G137" s="766">
        <f>SUM(G126:G136)</f>
        <v>0</v>
      </c>
      <c r="H137" s="766">
        <f>SUM(H126:H136)</f>
        <v>0</v>
      </c>
      <c r="I137" s="766">
        <f>SUM(I126:I136)</f>
        <v>0</v>
      </c>
    </row>
    <row r="138" spans="3:9" x14ac:dyDescent="0.2"/>
    <row r="139" spans="3:9" ht="15.75" thickBot="1" x14ac:dyDescent="0.3">
      <c r="C139" s="1115" t="s">
        <v>311</v>
      </c>
      <c r="D139" s="1115"/>
      <c r="E139" s="597">
        <v>8</v>
      </c>
      <c r="F139" s="601" t="s">
        <v>309</v>
      </c>
      <c r="G139" s="597"/>
    </row>
    <row r="140" spans="3:9" x14ac:dyDescent="0.2">
      <c r="C140" s="1116" t="s">
        <v>310</v>
      </c>
      <c r="D140" s="1117"/>
      <c r="E140" s="1118"/>
      <c r="F140" s="598" t="s">
        <v>105</v>
      </c>
      <c r="G140" s="614" t="s">
        <v>314</v>
      </c>
      <c r="H140" s="614" t="s">
        <v>315</v>
      </c>
      <c r="I140" s="615" t="s">
        <v>316</v>
      </c>
    </row>
    <row r="141" spans="3:9" x14ac:dyDescent="0.2">
      <c r="C141" s="1109"/>
      <c r="D141" s="1110"/>
      <c r="E141" s="1111"/>
      <c r="F141" s="603"/>
      <c r="G141" s="603"/>
      <c r="H141" s="603"/>
      <c r="I141" s="605"/>
    </row>
    <row r="142" spans="3:9" x14ac:dyDescent="0.2">
      <c r="C142" s="1109"/>
      <c r="D142" s="1110"/>
      <c r="E142" s="1111"/>
      <c r="F142" s="603"/>
      <c r="G142" s="603"/>
      <c r="H142" s="603"/>
      <c r="I142" s="605"/>
    </row>
    <row r="143" spans="3:9" x14ac:dyDescent="0.2">
      <c r="C143" s="1109"/>
      <c r="D143" s="1110"/>
      <c r="E143" s="1111"/>
      <c r="F143" s="603"/>
      <c r="G143" s="603"/>
      <c r="H143" s="603"/>
      <c r="I143" s="605"/>
    </row>
    <row r="144" spans="3:9" x14ac:dyDescent="0.2">
      <c r="C144" s="1109"/>
      <c r="D144" s="1110"/>
      <c r="E144" s="1111"/>
      <c r="F144" s="603"/>
      <c r="G144" s="603"/>
      <c r="H144" s="603"/>
      <c r="I144" s="605"/>
    </row>
    <row r="145" spans="3:9" x14ac:dyDescent="0.2">
      <c r="C145" s="1109"/>
      <c r="D145" s="1110"/>
      <c r="E145" s="1111"/>
      <c r="F145" s="603"/>
      <c r="G145" s="603"/>
      <c r="H145" s="603"/>
      <c r="I145" s="605"/>
    </row>
    <row r="146" spans="3:9" x14ac:dyDescent="0.2">
      <c r="C146" s="1109"/>
      <c r="D146" s="1110"/>
      <c r="E146" s="1111"/>
      <c r="F146" s="603"/>
      <c r="G146" s="603"/>
      <c r="H146" s="603"/>
      <c r="I146" s="605"/>
    </row>
    <row r="147" spans="3:9" x14ac:dyDescent="0.2">
      <c r="C147" s="1109"/>
      <c r="D147" s="1110"/>
      <c r="E147" s="1111"/>
      <c r="F147" s="603"/>
      <c r="G147" s="603"/>
      <c r="H147" s="603"/>
      <c r="I147" s="605"/>
    </row>
    <row r="148" spans="3:9" x14ac:dyDescent="0.2">
      <c r="C148" s="1109"/>
      <c r="D148" s="1110"/>
      <c r="E148" s="1111"/>
      <c r="F148" s="603"/>
      <c r="G148" s="603"/>
      <c r="H148" s="603"/>
      <c r="I148" s="605"/>
    </row>
    <row r="149" spans="3:9" x14ac:dyDescent="0.2">
      <c r="C149" s="1109"/>
      <c r="D149" s="1110"/>
      <c r="E149" s="1111"/>
      <c r="F149" s="603"/>
      <c r="G149" s="603"/>
      <c r="H149" s="603"/>
      <c r="I149" s="605"/>
    </row>
    <row r="150" spans="3:9" x14ac:dyDescent="0.2">
      <c r="C150" s="1109"/>
      <c r="D150" s="1110"/>
      <c r="E150" s="1111"/>
      <c r="F150" s="603"/>
      <c r="G150" s="603"/>
      <c r="H150" s="603"/>
      <c r="I150" s="605"/>
    </row>
    <row r="151" spans="3:9" ht="13.5" thickBot="1" x14ac:dyDescent="0.25">
      <c r="C151" s="1112"/>
      <c r="D151" s="1113"/>
      <c r="E151" s="1114"/>
      <c r="F151" s="606"/>
      <c r="G151" s="606"/>
      <c r="H151" s="606"/>
      <c r="I151" s="607"/>
    </row>
    <row r="152" spans="3:9" ht="15.75" thickBot="1" x14ac:dyDescent="0.3">
      <c r="E152" s="601" t="s">
        <v>99</v>
      </c>
      <c r="F152" s="766">
        <f>SUM(F141:F151)</f>
        <v>0</v>
      </c>
      <c r="G152" s="766">
        <f>SUM(G141:G151)</f>
        <v>0</v>
      </c>
      <c r="H152" s="766">
        <f>SUM(H141:H151)</f>
        <v>0</v>
      </c>
      <c r="I152" s="766">
        <f>SUM(I141:I151)</f>
        <v>0</v>
      </c>
    </row>
    <row r="153" spans="3:9" x14ac:dyDescent="0.2"/>
    <row r="154" spans="3:9" ht="15.75" thickBot="1" x14ac:dyDescent="0.3">
      <c r="C154" s="1115" t="s">
        <v>311</v>
      </c>
      <c r="D154" s="1115"/>
      <c r="E154" s="597">
        <v>9</v>
      </c>
      <c r="F154" s="601" t="s">
        <v>309</v>
      </c>
      <c r="G154" s="597"/>
    </row>
    <row r="155" spans="3:9" x14ac:dyDescent="0.2">
      <c r="C155" s="1116" t="s">
        <v>310</v>
      </c>
      <c r="D155" s="1117"/>
      <c r="E155" s="1118"/>
      <c r="F155" s="598" t="s">
        <v>105</v>
      </c>
      <c r="G155" s="614" t="s">
        <v>314</v>
      </c>
      <c r="H155" s="614" t="s">
        <v>315</v>
      </c>
      <c r="I155" s="615" t="s">
        <v>316</v>
      </c>
    </row>
    <row r="156" spans="3:9" x14ac:dyDescent="0.2">
      <c r="C156" s="1109"/>
      <c r="D156" s="1110"/>
      <c r="E156" s="1111"/>
      <c r="F156" s="603"/>
      <c r="G156" s="603"/>
      <c r="H156" s="603"/>
      <c r="I156" s="605"/>
    </row>
    <row r="157" spans="3:9" x14ac:dyDescent="0.2">
      <c r="C157" s="1109"/>
      <c r="D157" s="1110"/>
      <c r="E157" s="1111"/>
      <c r="F157" s="603"/>
      <c r="G157" s="603"/>
      <c r="H157" s="603"/>
      <c r="I157" s="605"/>
    </row>
    <row r="158" spans="3:9" x14ac:dyDescent="0.2">
      <c r="C158" s="1109"/>
      <c r="D158" s="1110"/>
      <c r="E158" s="1111"/>
      <c r="F158" s="603"/>
      <c r="G158" s="603"/>
      <c r="H158" s="603"/>
      <c r="I158" s="605"/>
    </row>
    <row r="159" spans="3:9" x14ac:dyDescent="0.2">
      <c r="C159" s="1109"/>
      <c r="D159" s="1110"/>
      <c r="E159" s="1111"/>
      <c r="F159" s="603"/>
      <c r="G159" s="603"/>
      <c r="H159" s="603"/>
      <c r="I159" s="605"/>
    </row>
    <row r="160" spans="3:9" x14ac:dyDescent="0.2">
      <c r="C160" s="1109"/>
      <c r="D160" s="1110"/>
      <c r="E160" s="1111"/>
      <c r="F160" s="603"/>
      <c r="G160" s="603"/>
      <c r="H160" s="603"/>
      <c r="I160" s="605"/>
    </row>
    <row r="161" spans="3:9" x14ac:dyDescent="0.2">
      <c r="C161" s="1109"/>
      <c r="D161" s="1110"/>
      <c r="E161" s="1111"/>
      <c r="F161" s="603"/>
      <c r="G161" s="603"/>
      <c r="H161" s="603"/>
      <c r="I161" s="605"/>
    </row>
    <row r="162" spans="3:9" x14ac:dyDescent="0.2">
      <c r="C162" s="1109"/>
      <c r="D162" s="1110"/>
      <c r="E162" s="1111"/>
      <c r="F162" s="603"/>
      <c r="G162" s="603"/>
      <c r="H162" s="603"/>
      <c r="I162" s="605"/>
    </row>
    <row r="163" spans="3:9" x14ac:dyDescent="0.2">
      <c r="C163" s="1109"/>
      <c r="D163" s="1110"/>
      <c r="E163" s="1111"/>
      <c r="F163" s="603"/>
      <c r="G163" s="603"/>
      <c r="H163" s="603"/>
      <c r="I163" s="605"/>
    </row>
    <row r="164" spans="3:9" x14ac:dyDescent="0.2">
      <c r="C164" s="1109"/>
      <c r="D164" s="1110"/>
      <c r="E164" s="1111"/>
      <c r="F164" s="603"/>
      <c r="G164" s="603"/>
      <c r="H164" s="603"/>
      <c r="I164" s="605"/>
    </row>
    <row r="165" spans="3:9" x14ac:dyDescent="0.2">
      <c r="C165" s="1109"/>
      <c r="D165" s="1110"/>
      <c r="E165" s="1111"/>
      <c r="F165" s="603"/>
      <c r="G165" s="603"/>
      <c r="H165" s="603"/>
      <c r="I165" s="605"/>
    </row>
    <row r="166" spans="3:9" ht="13.5" thickBot="1" x14ac:dyDescent="0.25">
      <c r="C166" s="1112"/>
      <c r="D166" s="1113"/>
      <c r="E166" s="1114"/>
      <c r="F166" s="606"/>
      <c r="G166" s="606"/>
      <c r="H166" s="606"/>
      <c r="I166" s="607"/>
    </row>
    <row r="167" spans="3:9" ht="15.75" thickBot="1" x14ac:dyDescent="0.3">
      <c r="E167" s="601" t="s">
        <v>99</v>
      </c>
      <c r="F167" s="766">
        <f>SUM(F156:F166)</f>
        <v>0</v>
      </c>
      <c r="G167" s="766">
        <f>SUM(G156:G166)</f>
        <v>0</v>
      </c>
      <c r="H167" s="766">
        <f>SUM(H156:H166)</f>
        <v>0</v>
      </c>
      <c r="I167" s="766">
        <f>SUM(I156:I166)</f>
        <v>0</v>
      </c>
    </row>
    <row r="168" spans="3:9" x14ac:dyDescent="0.2"/>
    <row r="169" spans="3:9" ht="15.75" thickBot="1" x14ac:dyDescent="0.3">
      <c r="C169" s="1115" t="s">
        <v>311</v>
      </c>
      <c r="D169" s="1115"/>
      <c r="E169" s="597">
        <v>10</v>
      </c>
      <c r="F169" s="601" t="s">
        <v>309</v>
      </c>
      <c r="G169" s="597"/>
    </row>
    <row r="170" spans="3:9" x14ac:dyDescent="0.2">
      <c r="C170" s="1116" t="s">
        <v>310</v>
      </c>
      <c r="D170" s="1117"/>
      <c r="E170" s="1118"/>
      <c r="F170" s="598" t="s">
        <v>105</v>
      </c>
      <c r="G170" s="614" t="s">
        <v>314</v>
      </c>
      <c r="H170" s="614" t="s">
        <v>315</v>
      </c>
      <c r="I170" s="615" t="s">
        <v>316</v>
      </c>
    </row>
    <row r="171" spans="3:9" x14ac:dyDescent="0.2">
      <c r="C171" s="1109"/>
      <c r="D171" s="1110"/>
      <c r="E171" s="1111"/>
      <c r="F171" s="603"/>
      <c r="G171" s="603"/>
      <c r="H171" s="603"/>
      <c r="I171" s="605"/>
    </row>
    <row r="172" spans="3:9" x14ac:dyDescent="0.2">
      <c r="C172" s="1109"/>
      <c r="D172" s="1110"/>
      <c r="E172" s="1111"/>
      <c r="F172" s="603"/>
      <c r="G172" s="603"/>
      <c r="H172" s="603"/>
      <c r="I172" s="605"/>
    </row>
    <row r="173" spans="3:9" x14ac:dyDescent="0.2">
      <c r="C173" s="1109"/>
      <c r="D173" s="1110"/>
      <c r="E173" s="1111"/>
      <c r="F173" s="603"/>
      <c r="G173" s="603"/>
      <c r="H173" s="603"/>
      <c r="I173" s="605"/>
    </row>
    <row r="174" spans="3:9" x14ac:dyDescent="0.2">
      <c r="C174" s="1109"/>
      <c r="D174" s="1110"/>
      <c r="E174" s="1111"/>
      <c r="F174" s="603"/>
      <c r="G174" s="603"/>
      <c r="H174" s="603"/>
      <c r="I174" s="605"/>
    </row>
    <row r="175" spans="3:9" x14ac:dyDescent="0.2">
      <c r="C175" s="1109"/>
      <c r="D175" s="1110"/>
      <c r="E175" s="1111"/>
      <c r="F175" s="603"/>
      <c r="G175" s="603"/>
      <c r="H175" s="603"/>
      <c r="I175" s="605"/>
    </row>
    <row r="176" spans="3:9" x14ac:dyDescent="0.2">
      <c r="C176" s="1109"/>
      <c r="D176" s="1110"/>
      <c r="E176" s="1111"/>
      <c r="F176" s="603"/>
      <c r="G176" s="603"/>
      <c r="H176" s="603"/>
      <c r="I176" s="605"/>
    </row>
    <row r="177" spans="3:9" x14ac:dyDescent="0.2">
      <c r="C177" s="1109"/>
      <c r="D177" s="1110"/>
      <c r="E177" s="1111"/>
      <c r="F177" s="603"/>
      <c r="G177" s="603"/>
      <c r="H177" s="603"/>
      <c r="I177" s="605"/>
    </row>
    <row r="178" spans="3:9" x14ac:dyDescent="0.2">
      <c r="C178" s="1109"/>
      <c r="D178" s="1110"/>
      <c r="E178" s="1111"/>
      <c r="F178" s="603"/>
      <c r="G178" s="603"/>
      <c r="H178" s="603"/>
      <c r="I178" s="605"/>
    </row>
    <row r="179" spans="3:9" x14ac:dyDescent="0.2">
      <c r="C179" s="1109"/>
      <c r="D179" s="1110"/>
      <c r="E179" s="1111"/>
      <c r="F179" s="603"/>
      <c r="G179" s="603"/>
      <c r="H179" s="603"/>
      <c r="I179" s="605"/>
    </row>
    <row r="180" spans="3:9" x14ac:dyDescent="0.2">
      <c r="C180" s="1109"/>
      <c r="D180" s="1110"/>
      <c r="E180" s="1111"/>
      <c r="F180" s="603"/>
      <c r="G180" s="603"/>
      <c r="H180" s="603"/>
      <c r="I180" s="605"/>
    </row>
    <row r="181" spans="3:9" ht="13.5" thickBot="1" x14ac:dyDescent="0.25">
      <c r="C181" s="1112"/>
      <c r="D181" s="1113"/>
      <c r="E181" s="1114"/>
      <c r="F181" s="606"/>
      <c r="G181" s="606"/>
      <c r="H181" s="606"/>
      <c r="I181" s="607"/>
    </row>
    <row r="182" spans="3:9" ht="15.75" thickBot="1" x14ac:dyDescent="0.3">
      <c r="E182" s="601" t="s">
        <v>99</v>
      </c>
      <c r="F182" s="766">
        <f>SUM(F171:F181)</f>
        <v>0</v>
      </c>
      <c r="G182" s="766">
        <f>SUM(G171:G181)</f>
        <v>0</v>
      </c>
      <c r="H182" s="766">
        <f>SUM(H171:H181)</f>
        <v>0</v>
      </c>
      <c r="I182" s="766">
        <f>SUM(I171:I181)</f>
        <v>0</v>
      </c>
    </row>
    <row r="183" spans="3:9" x14ac:dyDescent="0.2"/>
    <row r="184" spans="3:9" ht="15.75" thickBot="1" x14ac:dyDescent="0.3">
      <c r="C184" s="1115" t="s">
        <v>311</v>
      </c>
      <c r="D184" s="1115"/>
      <c r="E184" s="597">
        <v>11</v>
      </c>
      <c r="F184" s="601" t="s">
        <v>309</v>
      </c>
      <c r="G184" s="597"/>
    </row>
    <row r="185" spans="3:9" x14ac:dyDescent="0.2">
      <c r="C185" s="1116" t="s">
        <v>310</v>
      </c>
      <c r="D185" s="1117"/>
      <c r="E185" s="1118"/>
      <c r="F185" s="598" t="s">
        <v>105</v>
      </c>
      <c r="G185" s="614" t="s">
        <v>314</v>
      </c>
      <c r="H185" s="614" t="s">
        <v>315</v>
      </c>
      <c r="I185" s="615" t="s">
        <v>316</v>
      </c>
    </row>
    <row r="186" spans="3:9" x14ac:dyDescent="0.2">
      <c r="C186" s="1109"/>
      <c r="D186" s="1110"/>
      <c r="E186" s="1111"/>
      <c r="F186" s="603"/>
      <c r="G186" s="603"/>
      <c r="H186" s="603"/>
      <c r="I186" s="605"/>
    </row>
    <row r="187" spans="3:9" x14ac:dyDescent="0.2">
      <c r="C187" s="1109"/>
      <c r="D187" s="1110"/>
      <c r="E187" s="1111"/>
      <c r="F187" s="603"/>
      <c r="G187" s="603"/>
      <c r="H187" s="603"/>
      <c r="I187" s="605"/>
    </row>
    <row r="188" spans="3:9" x14ac:dyDescent="0.2">
      <c r="C188" s="1109"/>
      <c r="D188" s="1110"/>
      <c r="E188" s="1111"/>
      <c r="F188" s="603"/>
      <c r="G188" s="603"/>
      <c r="H188" s="603"/>
      <c r="I188" s="605"/>
    </row>
    <row r="189" spans="3:9" x14ac:dyDescent="0.2">
      <c r="C189" s="1109"/>
      <c r="D189" s="1110"/>
      <c r="E189" s="1111"/>
      <c r="F189" s="603"/>
      <c r="G189" s="603"/>
      <c r="H189" s="603"/>
      <c r="I189" s="605"/>
    </row>
    <row r="190" spans="3:9" x14ac:dyDescent="0.2">
      <c r="C190" s="1109"/>
      <c r="D190" s="1110"/>
      <c r="E190" s="1111"/>
      <c r="F190" s="603"/>
      <c r="G190" s="603"/>
      <c r="H190" s="603"/>
      <c r="I190" s="605"/>
    </row>
    <row r="191" spans="3:9" x14ac:dyDescent="0.2">
      <c r="C191" s="1109"/>
      <c r="D191" s="1110"/>
      <c r="E191" s="1111"/>
      <c r="F191" s="603"/>
      <c r="G191" s="603"/>
      <c r="H191" s="603"/>
      <c r="I191" s="605"/>
    </row>
    <row r="192" spans="3:9" x14ac:dyDescent="0.2">
      <c r="C192" s="1109"/>
      <c r="D192" s="1110"/>
      <c r="E192" s="1111"/>
      <c r="F192" s="603"/>
      <c r="G192" s="603"/>
      <c r="H192" s="603"/>
      <c r="I192" s="605"/>
    </row>
    <row r="193" spans="3:9" x14ac:dyDescent="0.2">
      <c r="C193" s="1109"/>
      <c r="D193" s="1110"/>
      <c r="E193" s="1111"/>
      <c r="F193" s="603"/>
      <c r="G193" s="603"/>
      <c r="H193" s="603"/>
      <c r="I193" s="605"/>
    </row>
    <row r="194" spans="3:9" x14ac:dyDescent="0.2">
      <c r="C194" s="1109"/>
      <c r="D194" s="1110"/>
      <c r="E194" s="1111"/>
      <c r="F194" s="603"/>
      <c r="G194" s="603"/>
      <c r="H194" s="603"/>
      <c r="I194" s="605"/>
    </row>
    <row r="195" spans="3:9" x14ac:dyDescent="0.2">
      <c r="C195" s="1109"/>
      <c r="D195" s="1110"/>
      <c r="E195" s="1111"/>
      <c r="F195" s="603"/>
      <c r="G195" s="603"/>
      <c r="H195" s="603"/>
      <c r="I195" s="605"/>
    </row>
    <row r="196" spans="3:9" ht="13.5" thickBot="1" x14ac:dyDescent="0.25">
      <c r="C196" s="1112"/>
      <c r="D196" s="1113"/>
      <c r="E196" s="1114"/>
      <c r="F196" s="606"/>
      <c r="G196" s="606"/>
      <c r="H196" s="606"/>
      <c r="I196" s="607"/>
    </row>
    <row r="197" spans="3:9" ht="15.75" thickBot="1" x14ac:dyDescent="0.3">
      <c r="E197" s="601" t="s">
        <v>99</v>
      </c>
      <c r="F197" s="766">
        <f>SUM(F186:F196)</f>
        <v>0</v>
      </c>
      <c r="G197" s="766">
        <f>SUM(G186:G196)</f>
        <v>0</v>
      </c>
      <c r="H197" s="766">
        <f>SUM(H186:H196)</f>
        <v>0</v>
      </c>
      <c r="I197" s="766">
        <f>SUM(I186:I196)</f>
        <v>0</v>
      </c>
    </row>
    <row r="198" spans="3:9" x14ac:dyDescent="0.2"/>
    <row r="199" spans="3:9" ht="15.75" thickBot="1" x14ac:dyDescent="0.3">
      <c r="C199" s="1115" t="s">
        <v>311</v>
      </c>
      <c r="D199" s="1115"/>
      <c r="E199" s="597">
        <v>12</v>
      </c>
      <c r="F199" s="601" t="s">
        <v>309</v>
      </c>
      <c r="G199" s="597"/>
    </row>
    <row r="200" spans="3:9" x14ac:dyDescent="0.2">
      <c r="C200" s="1116" t="s">
        <v>310</v>
      </c>
      <c r="D200" s="1117"/>
      <c r="E200" s="1118"/>
      <c r="F200" s="598" t="s">
        <v>105</v>
      </c>
      <c r="G200" s="614" t="s">
        <v>314</v>
      </c>
      <c r="H200" s="614" t="s">
        <v>315</v>
      </c>
      <c r="I200" s="615" t="s">
        <v>316</v>
      </c>
    </row>
    <row r="201" spans="3:9" x14ac:dyDescent="0.2">
      <c r="C201" s="1109"/>
      <c r="D201" s="1110"/>
      <c r="E201" s="1111"/>
      <c r="F201" s="603"/>
      <c r="G201" s="603"/>
      <c r="H201" s="603"/>
      <c r="I201" s="605"/>
    </row>
    <row r="202" spans="3:9" x14ac:dyDescent="0.2">
      <c r="C202" s="1109"/>
      <c r="D202" s="1110"/>
      <c r="E202" s="1111"/>
      <c r="F202" s="603"/>
      <c r="G202" s="603"/>
      <c r="H202" s="603"/>
      <c r="I202" s="605"/>
    </row>
    <row r="203" spans="3:9" x14ac:dyDescent="0.2">
      <c r="C203" s="1109"/>
      <c r="D203" s="1110"/>
      <c r="E203" s="1111"/>
      <c r="F203" s="603"/>
      <c r="G203" s="603"/>
      <c r="H203" s="603"/>
      <c r="I203" s="605"/>
    </row>
    <row r="204" spans="3:9" x14ac:dyDescent="0.2">
      <c r="C204" s="1109"/>
      <c r="D204" s="1110"/>
      <c r="E204" s="1111"/>
      <c r="F204" s="603"/>
      <c r="G204" s="603"/>
      <c r="H204" s="603"/>
      <c r="I204" s="605"/>
    </row>
    <row r="205" spans="3:9" x14ac:dyDescent="0.2">
      <c r="C205" s="1109"/>
      <c r="D205" s="1110"/>
      <c r="E205" s="1111"/>
      <c r="F205" s="603"/>
      <c r="G205" s="603"/>
      <c r="H205" s="603"/>
      <c r="I205" s="605"/>
    </row>
    <row r="206" spans="3:9" x14ac:dyDescent="0.2">
      <c r="C206" s="1109"/>
      <c r="D206" s="1110"/>
      <c r="E206" s="1111"/>
      <c r="F206" s="603"/>
      <c r="G206" s="603"/>
      <c r="H206" s="603"/>
      <c r="I206" s="605"/>
    </row>
    <row r="207" spans="3:9" x14ac:dyDescent="0.2">
      <c r="C207" s="1109"/>
      <c r="D207" s="1110"/>
      <c r="E207" s="1111"/>
      <c r="F207" s="603"/>
      <c r="G207" s="603"/>
      <c r="H207" s="603"/>
      <c r="I207" s="605"/>
    </row>
    <row r="208" spans="3:9" x14ac:dyDescent="0.2">
      <c r="C208" s="1109"/>
      <c r="D208" s="1110"/>
      <c r="E208" s="1111"/>
      <c r="F208" s="603"/>
      <c r="G208" s="603"/>
      <c r="H208" s="603"/>
      <c r="I208" s="605"/>
    </row>
    <row r="209" spans="3:9" x14ac:dyDescent="0.2">
      <c r="C209" s="1109"/>
      <c r="D209" s="1110"/>
      <c r="E209" s="1111"/>
      <c r="F209" s="603"/>
      <c r="G209" s="603"/>
      <c r="H209" s="603"/>
      <c r="I209" s="605"/>
    </row>
    <row r="210" spans="3:9" x14ac:dyDescent="0.2">
      <c r="C210" s="1109"/>
      <c r="D210" s="1110"/>
      <c r="E210" s="1111"/>
      <c r="F210" s="603"/>
      <c r="G210" s="603"/>
      <c r="H210" s="603"/>
      <c r="I210" s="605"/>
    </row>
    <row r="211" spans="3:9" ht="13.5" thickBot="1" x14ac:dyDescent="0.25">
      <c r="C211" s="1112"/>
      <c r="D211" s="1113"/>
      <c r="E211" s="1114"/>
      <c r="F211" s="606"/>
      <c r="G211" s="606"/>
      <c r="H211" s="606"/>
      <c r="I211" s="607"/>
    </row>
    <row r="212" spans="3:9" ht="15.75" thickBot="1" x14ac:dyDescent="0.3">
      <c r="E212" s="601" t="s">
        <v>99</v>
      </c>
      <c r="F212" s="766">
        <f>SUM(F201:F211)</f>
        <v>0</v>
      </c>
      <c r="G212" s="766">
        <f>SUM(G201:G211)</f>
        <v>0</v>
      </c>
      <c r="H212" s="766">
        <f>SUM(H201:H211)</f>
        <v>0</v>
      </c>
      <c r="I212" s="766">
        <f>SUM(I201:I211)</f>
        <v>0</v>
      </c>
    </row>
    <row r="213" spans="3:9" x14ac:dyDescent="0.2"/>
    <row r="214" spans="3:9" ht="15.75" thickBot="1" x14ac:dyDescent="0.3">
      <c r="C214" s="1115" t="s">
        <v>311</v>
      </c>
      <c r="D214" s="1115"/>
      <c r="E214" s="597">
        <v>13</v>
      </c>
      <c r="F214" s="601" t="s">
        <v>309</v>
      </c>
      <c r="G214" s="597"/>
    </row>
    <row r="215" spans="3:9" x14ac:dyDescent="0.2">
      <c r="C215" s="1116" t="s">
        <v>310</v>
      </c>
      <c r="D215" s="1117"/>
      <c r="E215" s="1118"/>
      <c r="F215" s="598" t="s">
        <v>105</v>
      </c>
      <c r="G215" s="614" t="s">
        <v>314</v>
      </c>
      <c r="H215" s="614" t="s">
        <v>315</v>
      </c>
      <c r="I215" s="615" t="s">
        <v>316</v>
      </c>
    </row>
    <row r="216" spans="3:9" x14ac:dyDescent="0.2">
      <c r="C216" s="1109"/>
      <c r="D216" s="1110"/>
      <c r="E216" s="1111"/>
      <c r="F216" s="603"/>
      <c r="G216" s="603"/>
      <c r="H216" s="603"/>
      <c r="I216" s="605"/>
    </row>
    <row r="217" spans="3:9" x14ac:dyDescent="0.2">
      <c r="C217" s="1109"/>
      <c r="D217" s="1110"/>
      <c r="E217" s="1111"/>
      <c r="F217" s="603"/>
      <c r="G217" s="603"/>
      <c r="H217" s="603"/>
      <c r="I217" s="605"/>
    </row>
    <row r="218" spans="3:9" x14ac:dyDescent="0.2">
      <c r="C218" s="1109"/>
      <c r="D218" s="1110"/>
      <c r="E218" s="1111"/>
      <c r="F218" s="603"/>
      <c r="G218" s="603"/>
      <c r="H218" s="603"/>
      <c r="I218" s="605"/>
    </row>
    <row r="219" spans="3:9" x14ac:dyDescent="0.2">
      <c r="C219" s="1109"/>
      <c r="D219" s="1110"/>
      <c r="E219" s="1111"/>
      <c r="F219" s="603"/>
      <c r="G219" s="603"/>
      <c r="H219" s="603"/>
      <c r="I219" s="605"/>
    </row>
    <row r="220" spans="3:9" x14ac:dyDescent="0.2">
      <c r="C220" s="1109"/>
      <c r="D220" s="1110"/>
      <c r="E220" s="1111"/>
      <c r="F220" s="603"/>
      <c r="G220" s="603"/>
      <c r="H220" s="603"/>
      <c r="I220" s="605"/>
    </row>
    <row r="221" spans="3:9" x14ac:dyDescent="0.2">
      <c r="C221" s="1109"/>
      <c r="D221" s="1110"/>
      <c r="E221" s="1111"/>
      <c r="F221" s="603"/>
      <c r="G221" s="603"/>
      <c r="H221" s="603"/>
      <c r="I221" s="605"/>
    </row>
    <row r="222" spans="3:9" x14ac:dyDescent="0.2">
      <c r="C222" s="1109"/>
      <c r="D222" s="1110"/>
      <c r="E222" s="1111"/>
      <c r="F222" s="603"/>
      <c r="G222" s="603"/>
      <c r="H222" s="603"/>
      <c r="I222" s="605"/>
    </row>
    <row r="223" spans="3:9" x14ac:dyDescent="0.2">
      <c r="C223" s="1109"/>
      <c r="D223" s="1110"/>
      <c r="E223" s="1111"/>
      <c r="F223" s="603"/>
      <c r="G223" s="603"/>
      <c r="H223" s="603"/>
      <c r="I223" s="605"/>
    </row>
    <row r="224" spans="3:9" x14ac:dyDescent="0.2">
      <c r="C224" s="1109"/>
      <c r="D224" s="1110"/>
      <c r="E224" s="1111"/>
      <c r="F224" s="603"/>
      <c r="G224" s="603"/>
      <c r="H224" s="603"/>
      <c r="I224" s="605"/>
    </row>
    <row r="225" spans="3:9" x14ac:dyDescent="0.2">
      <c r="C225" s="1109"/>
      <c r="D225" s="1110"/>
      <c r="E225" s="1111"/>
      <c r="F225" s="603"/>
      <c r="G225" s="603"/>
      <c r="H225" s="603"/>
      <c r="I225" s="605"/>
    </row>
    <row r="226" spans="3:9" ht="13.5" thickBot="1" x14ac:dyDescent="0.25">
      <c r="C226" s="1112"/>
      <c r="D226" s="1113"/>
      <c r="E226" s="1114"/>
      <c r="F226" s="606"/>
      <c r="G226" s="606"/>
      <c r="H226" s="606"/>
      <c r="I226" s="607"/>
    </row>
    <row r="227" spans="3:9" ht="15.75" thickBot="1" x14ac:dyDescent="0.3">
      <c r="E227" s="601" t="s">
        <v>99</v>
      </c>
      <c r="F227" s="766">
        <f>SUM(F216:F226)</f>
        <v>0</v>
      </c>
      <c r="G227" s="766">
        <f>SUM(G216:G226)</f>
        <v>0</v>
      </c>
      <c r="H227" s="766">
        <f>SUM(H216:H226)</f>
        <v>0</v>
      </c>
      <c r="I227" s="766">
        <f>SUM(I216:I226)</f>
        <v>0</v>
      </c>
    </row>
    <row r="228" spans="3:9" x14ac:dyDescent="0.2"/>
    <row r="229" spans="3:9" ht="15.75" thickBot="1" x14ac:dyDescent="0.3">
      <c r="C229" s="1115" t="s">
        <v>311</v>
      </c>
      <c r="D229" s="1115"/>
      <c r="E229" s="597">
        <v>14</v>
      </c>
      <c r="F229" s="601" t="s">
        <v>309</v>
      </c>
      <c r="G229" s="597"/>
    </row>
    <row r="230" spans="3:9" x14ac:dyDescent="0.2">
      <c r="C230" s="1116" t="s">
        <v>310</v>
      </c>
      <c r="D230" s="1117"/>
      <c r="E230" s="1118"/>
      <c r="F230" s="598" t="s">
        <v>105</v>
      </c>
      <c r="G230" s="614" t="s">
        <v>314</v>
      </c>
      <c r="H230" s="614" t="s">
        <v>315</v>
      </c>
      <c r="I230" s="615" t="s">
        <v>316</v>
      </c>
    </row>
    <row r="231" spans="3:9" x14ac:dyDescent="0.2">
      <c r="C231" s="1109"/>
      <c r="D231" s="1110"/>
      <c r="E231" s="1111"/>
      <c r="F231" s="603"/>
      <c r="G231" s="603"/>
      <c r="H231" s="603"/>
      <c r="I231" s="605"/>
    </row>
    <row r="232" spans="3:9" x14ac:dyDescent="0.2">
      <c r="C232" s="1109"/>
      <c r="D232" s="1110"/>
      <c r="E232" s="1111"/>
      <c r="F232" s="603"/>
      <c r="G232" s="603"/>
      <c r="H232" s="603"/>
      <c r="I232" s="605"/>
    </row>
    <row r="233" spans="3:9" x14ac:dyDescent="0.2">
      <c r="C233" s="1109"/>
      <c r="D233" s="1110"/>
      <c r="E233" s="1111"/>
      <c r="F233" s="603"/>
      <c r="G233" s="603"/>
      <c r="H233" s="603"/>
      <c r="I233" s="605"/>
    </row>
    <row r="234" spans="3:9" x14ac:dyDescent="0.2">
      <c r="C234" s="1109"/>
      <c r="D234" s="1110"/>
      <c r="E234" s="1111"/>
      <c r="F234" s="603"/>
      <c r="G234" s="603"/>
      <c r="H234" s="603"/>
      <c r="I234" s="605"/>
    </row>
    <row r="235" spans="3:9" x14ac:dyDescent="0.2">
      <c r="C235" s="1109"/>
      <c r="D235" s="1110"/>
      <c r="E235" s="1111"/>
      <c r="F235" s="603"/>
      <c r="G235" s="603"/>
      <c r="H235" s="603"/>
      <c r="I235" s="605"/>
    </row>
    <row r="236" spans="3:9" x14ac:dyDescent="0.2">
      <c r="C236" s="1109"/>
      <c r="D236" s="1110"/>
      <c r="E236" s="1111"/>
      <c r="F236" s="603"/>
      <c r="G236" s="603"/>
      <c r="H236" s="603"/>
      <c r="I236" s="605"/>
    </row>
    <row r="237" spans="3:9" x14ac:dyDescent="0.2">
      <c r="C237" s="1109"/>
      <c r="D237" s="1110"/>
      <c r="E237" s="1111"/>
      <c r="F237" s="603"/>
      <c r="G237" s="603"/>
      <c r="H237" s="603"/>
      <c r="I237" s="605"/>
    </row>
    <row r="238" spans="3:9" x14ac:dyDescent="0.2">
      <c r="C238" s="1109"/>
      <c r="D238" s="1110"/>
      <c r="E238" s="1111"/>
      <c r="F238" s="603"/>
      <c r="G238" s="603"/>
      <c r="H238" s="603"/>
      <c r="I238" s="605"/>
    </row>
    <row r="239" spans="3:9" x14ac:dyDescent="0.2">
      <c r="C239" s="1109"/>
      <c r="D239" s="1110"/>
      <c r="E239" s="1111"/>
      <c r="F239" s="603"/>
      <c r="G239" s="603"/>
      <c r="H239" s="603"/>
      <c r="I239" s="605"/>
    </row>
    <row r="240" spans="3:9" x14ac:dyDescent="0.2">
      <c r="C240" s="1109"/>
      <c r="D240" s="1110"/>
      <c r="E240" s="1111"/>
      <c r="F240" s="603"/>
      <c r="G240" s="603"/>
      <c r="H240" s="603"/>
      <c r="I240" s="605"/>
    </row>
    <row r="241" spans="3:9" ht="13.5" thickBot="1" x14ac:dyDescent="0.25">
      <c r="C241" s="1112"/>
      <c r="D241" s="1113"/>
      <c r="E241" s="1114"/>
      <c r="F241" s="606"/>
      <c r="G241" s="606"/>
      <c r="H241" s="606"/>
      <c r="I241" s="607"/>
    </row>
    <row r="242" spans="3:9" ht="15.75" thickBot="1" x14ac:dyDescent="0.3">
      <c r="E242" s="601" t="s">
        <v>99</v>
      </c>
      <c r="F242" s="766">
        <f>SUM(F231:F241)</f>
        <v>0</v>
      </c>
      <c r="G242" s="766">
        <f>SUM(G231:G241)</f>
        <v>0</v>
      </c>
      <c r="H242" s="766">
        <f>SUM(H231:H241)</f>
        <v>0</v>
      </c>
      <c r="I242" s="766">
        <f>SUM(I231:I241)</f>
        <v>0</v>
      </c>
    </row>
    <row r="243" spans="3:9" x14ac:dyDescent="0.2"/>
    <row r="244" spans="3:9" ht="15.75" thickBot="1" x14ac:dyDescent="0.3">
      <c r="C244" s="1115" t="s">
        <v>311</v>
      </c>
      <c r="D244" s="1115"/>
      <c r="E244" s="597">
        <v>15</v>
      </c>
      <c r="F244" s="601" t="s">
        <v>309</v>
      </c>
      <c r="G244" s="597"/>
    </row>
    <row r="245" spans="3:9" x14ac:dyDescent="0.2">
      <c r="C245" s="1116" t="s">
        <v>310</v>
      </c>
      <c r="D245" s="1117"/>
      <c r="E245" s="1118"/>
      <c r="F245" s="598" t="s">
        <v>105</v>
      </c>
      <c r="G245" s="614" t="s">
        <v>314</v>
      </c>
      <c r="H245" s="614" t="s">
        <v>315</v>
      </c>
      <c r="I245" s="615" t="s">
        <v>316</v>
      </c>
    </row>
    <row r="246" spans="3:9" x14ac:dyDescent="0.2">
      <c r="C246" s="1109"/>
      <c r="D246" s="1110"/>
      <c r="E246" s="1111"/>
      <c r="F246" s="603"/>
      <c r="G246" s="603"/>
      <c r="H246" s="603"/>
      <c r="I246" s="605"/>
    </row>
    <row r="247" spans="3:9" x14ac:dyDescent="0.2">
      <c r="C247" s="1109"/>
      <c r="D247" s="1110"/>
      <c r="E247" s="1111"/>
      <c r="F247" s="603"/>
      <c r="G247" s="603"/>
      <c r="H247" s="603"/>
      <c r="I247" s="605"/>
    </row>
    <row r="248" spans="3:9" x14ac:dyDescent="0.2">
      <c r="C248" s="1109"/>
      <c r="D248" s="1110"/>
      <c r="E248" s="1111"/>
      <c r="F248" s="603"/>
      <c r="G248" s="603"/>
      <c r="H248" s="603"/>
      <c r="I248" s="605"/>
    </row>
    <row r="249" spans="3:9" x14ac:dyDescent="0.2">
      <c r="C249" s="1109"/>
      <c r="D249" s="1110"/>
      <c r="E249" s="1111"/>
      <c r="F249" s="603"/>
      <c r="G249" s="603"/>
      <c r="H249" s="603"/>
      <c r="I249" s="605"/>
    </row>
    <row r="250" spans="3:9" x14ac:dyDescent="0.2">
      <c r="C250" s="1109"/>
      <c r="D250" s="1110"/>
      <c r="E250" s="1111"/>
      <c r="F250" s="603"/>
      <c r="G250" s="603"/>
      <c r="H250" s="603"/>
      <c r="I250" s="605"/>
    </row>
    <row r="251" spans="3:9" x14ac:dyDescent="0.2">
      <c r="C251" s="1109"/>
      <c r="D251" s="1110"/>
      <c r="E251" s="1111"/>
      <c r="F251" s="603"/>
      <c r="G251" s="603"/>
      <c r="H251" s="603"/>
      <c r="I251" s="605"/>
    </row>
    <row r="252" spans="3:9" x14ac:dyDescent="0.2">
      <c r="C252" s="1109"/>
      <c r="D252" s="1110"/>
      <c r="E252" s="1111"/>
      <c r="F252" s="603"/>
      <c r="G252" s="603"/>
      <c r="H252" s="603"/>
      <c r="I252" s="605"/>
    </row>
    <row r="253" spans="3:9" x14ac:dyDescent="0.2">
      <c r="C253" s="1109"/>
      <c r="D253" s="1110"/>
      <c r="E253" s="1111"/>
      <c r="F253" s="603"/>
      <c r="G253" s="603"/>
      <c r="H253" s="603"/>
      <c r="I253" s="605"/>
    </row>
    <row r="254" spans="3:9" x14ac:dyDescent="0.2">
      <c r="C254" s="1109"/>
      <c r="D254" s="1110"/>
      <c r="E254" s="1111"/>
      <c r="F254" s="603"/>
      <c r="G254" s="603"/>
      <c r="H254" s="603"/>
      <c r="I254" s="605"/>
    </row>
    <row r="255" spans="3:9" x14ac:dyDescent="0.2">
      <c r="C255" s="1109"/>
      <c r="D255" s="1110"/>
      <c r="E255" s="1111"/>
      <c r="F255" s="603"/>
      <c r="G255" s="603"/>
      <c r="H255" s="603"/>
      <c r="I255" s="605"/>
    </row>
    <row r="256" spans="3:9" ht="13.5" thickBot="1" x14ac:dyDescent="0.25">
      <c r="C256" s="1112"/>
      <c r="D256" s="1113"/>
      <c r="E256" s="1114"/>
      <c r="F256" s="606"/>
      <c r="G256" s="606"/>
      <c r="H256" s="606"/>
      <c r="I256" s="607"/>
    </row>
    <row r="257" spans="3:9" ht="15.75" thickBot="1" x14ac:dyDescent="0.3">
      <c r="E257" s="601" t="s">
        <v>99</v>
      </c>
      <c r="F257" s="766">
        <f>SUM(F246:F256)</f>
        <v>0</v>
      </c>
      <c r="G257" s="766">
        <f>SUM(G246:G256)</f>
        <v>0</v>
      </c>
      <c r="H257" s="766">
        <f>SUM(H246:H256)</f>
        <v>0</v>
      </c>
      <c r="I257" s="766">
        <f>SUM(I246:I256)</f>
        <v>0</v>
      </c>
    </row>
    <row r="258" spans="3:9" x14ac:dyDescent="0.2"/>
    <row r="259" spans="3:9" ht="15.75" thickBot="1" x14ac:dyDescent="0.3">
      <c r="C259" s="1115" t="s">
        <v>311</v>
      </c>
      <c r="D259" s="1115"/>
      <c r="E259" s="597">
        <v>16</v>
      </c>
      <c r="F259" s="601" t="s">
        <v>309</v>
      </c>
      <c r="G259" s="597"/>
    </row>
    <row r="260" spans="3:9" x14ac:dyDescent="0.2">
      <c r="C260" s="1116" t="s">
        <v>310</v>
      </c>
      <c r="D260" s="1117"/>
      <c r="E260" s="1118"/>
      <c r="F260" s="598" t="s">
        <v>105</v>
      </c>
      <c r="G260" s="614" t="s">
        <v>314</v>
      </c>
      <c r="H260" s="614" t="s">
        <v>315</v>
      </c>
      <c r="I260" s="615" t="s">
        <v>316</v>
      </c>
    </row>
    <row r="261" spans="3:9" x14ac:dyDescent="0.2">
      <c r="C261" s="1109"/>
      <c r="D261" s="1110"/>
      <c r="E261" s="1111"/>
      <c r="F261" s="603"/>
      <c r="G261" s="603"/>
      <c r="H261" s="603"/>
      <c r="I261" s="605"/>
    </row>
    <row r="262" spans="3:9" x14ac:dyDescent="0.2">
      <c r="C262" s="1109"/>
      <c r="D262" s="1110"/>
      <c r="E262" s="1111"/>
      <c r="F262" s="603"/>
      <c r="G262" s="603"/>
      <c r="H262" s="603"/>
      <c r="I262" s="605"/>
    </row>
    <row r="263" spans="3:9" x14ac:dyDescent="0.2">
      <c r="C263" s="1109"/>
      <c r="D263" s="1110"/>
      <c r="E263" s="1111"/>
      <c r="F263" s="603"/>
      <c r="G263" s="603"/>
      <c r="H263" s="603"/>
      <c r="I263" s="605"/>
    </row>
    <row r="264" spans="3:9" x14ac:dyDescent="0.2">
      <c r="C264" s="1109"/>
      <c r="D264" s="1110"/>
      <c r="E264" s="1111"/>
      <c r="F264" s="603"/>
      <c r="G264" s="603"/>
      <c r="H264" s="603"/>
      <c r="I264" s="605"/>
    </row>
    <row r="265" spans="3:9" x14ac:dyDescent="0.2">
      <c r="C265" s="1109"/>
      <c r="D265" s="1110"/>
      <c r="E265" s="1111"/>
      <c r="F265" s="603"/>
      <c r="G265" s="603"/>
      <c r="H265" s="603"/>
      <c r="I265" s="605"/>
    </row>
    <row r="266" spans="3:9" x14ac:dyDescent="0.2">
      <c r="C266" s="1109"/>
      <c r="D266" s="1110"/>
      <c r="E266" s="1111"/>
      <c r="F266" s="603"/>
      <c r="G266" s="603"/>
      <c r="H266" s="603"/>
      <c r="I266" s="605"/>
    </row>
    <row r="267" spans="3:9" x14ac:dyDescent="0.2">
      <c r="C267" s="1109"/>
      <c r="D267" s="1110"/>
      <c r="E267" s="1111"/>
      <c r="F267" s="603"/>
      <c r="G267" s="603"/>
      <c r="H267" s="603"/>
      <c r="I267" s="605"/>
    </row>
    <row r="268" spans="3:9" x14ac:dyDescent="0.2">
      <c r="C268" s="1109"/>
      <c r="D268" s="1110"/>
      <c r="E268" s="1111"/>
      <c r="F268" s="603"/>
      <c r="G268" s="603"/>
      <c r="H268" s="603"/>
      <c r="I268" s="605"/>
    </row>
    <row r="269" spans="3:9" x14ac:dyDescent="0.2">
      <c r="C269" s="1109"/>
      <c r="D269" s="1110"/>
      <c r="E269" s="1111"/>
      <c r="F269" s="603"/>
      <c r="G269" s="603"/>
      <c r="H269" s="603"/>
      <c r="I269" s="605"/>
    </row>
    <row r="270" spans="3:9" x14ac:dyDescent="0.2">
      <c r="C270" s="1109"/>
      <c r="D270" s="1110"/>
      <c r="E270" s="1111"/>
      <c r="F270" s="603"/>
      <c r="G270" s="603"/>
      <c r="H270" s="603"/>
      <c r="I270" s="605"/>
    </row>
    <row r="271" spans="3:9" ht="13.5" thickBot="1" x14ac:dyDescent="0.25">
      <c r="C271" s="1112"/>
      <c r="D271" s="1113"/>
      <c r="E271" s="1114"/>
      <c r="F271" s="606"/>
      <c r="G271" s="606"/>
      <c r="H271" s="606"/>
      <c r="I271" s="607"/>
    </row>
    <row r="272" spans="3:9" ht="15.75" thickBot="1" x14ac:dyDescent="0.3">
      <c r="E272" s="601" t="s">
        <v>99</v>
      </c>
      <c r="F272" s="766">
        <f>SUM(F261:F271)</f>
        <v>0</v>
      </c>
      <c r="G272" s="766">
        <f>SUM(G261:G271)</f>
        <v>0</v>
      </c>
      <c r="H272" s="766">
        <f>SUM(H261:H271)</f>
        <v>0</v>
      </c>
      <c r="I272" s="766">
        <f>SUM(I261:I271)</f>
        <v>0</v>
      </c>
    </row>
    <row r="273" spans="3:9" x14ac:dyDescent="0.2"/>
    <row r="274" spans="3:9" ht="15.75" thickBot="1" x14ac:dyDescent="0.3">
      <c r="C274" s="1115" t="s">
        <v>311</v>
      </c>
      <c r="D274" s="1115"/>
      <c r="E274" s="597">
        <v>17</v>
      </c>
      <c r="F274" s="601" t="s">
        <v>309</v>
      </c>
      <c r="G274" s="597"/>
    </row>
    <row r="275" spans="3:9" x14ac:dyDescent="0.2">
      <c r="C275" s="1116" t="s">
        <v>310</v>
      </c>
      <c r="D275" s="1117"/>
      <c r="E275" s="1118"/>
      <c r="F275" s="598" t="s">
        <v>105</v>
      </c>
      <c r="G275" s="614" t="s">
        <v>314</v>
      </c>
      <c r="H275" s="614" t="s">
        <v>315</v>
      </c>
      <c r="I275" s="615" t="s">
        <v>316</v>
      </c>
    </row>
    <row r="276" spans="3:9" x14ac:dyDescent="0.2">
      <c r="C276" s="1109"/>
      <c r="D276" s="1110"/>
      <c r="E276" s="1111"/>
      <c r="F276" s="603"/>
      <c r="G276" s="603"/>
      <c r="H276" s="603"/>
      <c r="I276" s="605"/>
    </row>
    <row r="277" spans="3:9" x14ac:dyDescent="0.2">
      <c r="C277" s="1109"/>
      <c r="D277" s="1110"/>
      <c r="E277" s="1111"/>
      <c r="F277" s="603"/>
      <c r="G277" s="603"/>
      <c r="H277" s="603"/>
      <c r="I277" s="605"/>
    </row>
    <row r="278" spans="3:9" x14ac:dyDescent="0.2">
      <c r="C278" s="1109"/>
      <c r="D278" s="1110"/>
      <c r="E278" s="1111"/>
      <c r="F278" s="603"/>
      <c r="G278" s="603"/>
      <c r="H278" s="603"/>
      <c r="I278" s="605"/>
    </row>
    <row r="279" spans="3:9" x14ac:dyDescent="0.2">
      <c r="C279" s="1109"/>
      <c r="D279" s="1110"/>
      <c r="E279" s="1111"/>
      <c r="F279" s="603"/>
      <c r="G279" s="603"/>
      <c r="H279" s="603"/>
      <c r="I279" s="605"/>
    </row>
    <row r="280" spans="3:9" x14ac:dyDescent="0.2">
      <c r="C280" s="1109"/>
      <c r="D280" s="1110"/>
      <c r="E280" s="1111"/>
      <c r="F280" s="603"/>
      <c r="G280" s="603"/>
      <c r="H280" s="603"/>
      <c r="I280" s="605"/>
    </row>
    <row r="281" spans="3:9" x14ac:dyDescent="0.2">
      <c r="C281" s="1109"/>
      <c r="D281" s="1110"/>
      <c r="E281" s="1111"/>
      <c r="F281" s="603"/>
      <c r="G281" s="603"/>
      <c r="H281" s="603"/>
      <c r="I281" s="605"/>
    </row>
    <row r="282" spans="3:9" x14ac:dyDescent="0.2">
      <c r="C282" s="1109"/>
      <c r="D282" s="1110"/>
      <c r="E282" s="1111"/>
      <c r="F282" s="603"/>
      <c r="G282" s="603"/>
      <c r="H282" s="603"/>
      <c r="I282" s="605"/>
    </row>
    <row r="283" spans="3:9" x14ac:dyDescent="0.2">
      <c r="C283" s="1109"/>
      <c r="D283" s="1110"/>
      <c r="E283" s="1111"/>
      <c r="F283" s="603"/>
      <c r="G283" s="603"/>
      <c r="H283" s="603"/>
      <c r="I283" s="605"/>
    </row>
    <row r="284" spans="3:9" x14ac:dyDescent="0.2">
      <c r="C284" s="1109"/>
      <c r="D284" s="1110"/>
      <c r="E284" s="1111"/>
      <c r="F284" s="603"/>
      <c r="G284" s="603"/>
      <c r="H284" s="603"/>
      <c r="I284" s="605"/>
    </row>
    <row r="285" spans="3:9" x14ac:dyDescent="0.2">
      <c r="C285" s="1109"/>
      <c r="D285" s="1110"/>
      <c r="E285" s="1111"/>
      <c r="F285" s="603"/>
      <c r="G285" s="603"/>
      <c r="H285" s="603"/>
      <c r="I285" s="605"/>
    </row>
    <row r="286" spans="3:9" ht="13.5" thickBot="1" x14ac:dyDescent="0.25">
      <c r="C286" s="1112"/>
      <c r="D286" s="1113"/>
      <c r="E286" s="1114"/>
      <c r="F286" s="606"/>
      <c r="G286" s="606"/>
      <c r="H286" s="606"/>
      <c r="I286" s="607"/>
    </row>
    <row r="287" spans="3:9" ht="15.75" thickBot="1" x14ac:dyDescent="0.3">
      <c r="E287" s="601" t="s">
        <v>99</v>
      </c>
      <c r="F287" s="766">
        <f>SUM(F276:F286)</f>
        <v>0</v>
      </c>
      <c r="G287" s="766">
        <f>SUM(G276:G286)</f>
        <v>0</v>
      </c>
      <c r="H287" s="766">
        <f>SUM(H276:H286)</f>
        <v>0</v>
      </c>
      <c r="I287" s="766">
        <f>SUM(I276:I286)</f>
        <v>0</v>
      </c>
    </row>
    <row r="288" spans="3:9" x14ac:dyDescent="0.2"/>
    <row r="289" spans="3:9" ht="15.75" thickBot="1" x14ac:dyDescent="0.3">
      <c r="C289" s="1115" t="s">
        <v>311</v>
      </c>
      <c r="D289" s="1115"/>
      <c r="E289" s="597">
        <v>18</v>
      </c>
      <c r="F289" s="601" t="s">
        <v>309</v>
      </c>
      <c r="G289" s="597"/>
    </row>
    <row r="290" spans="3:9" x14ac:dyDescent="0.2">
      <c r="C290" s="1116" t="s">
        <v>310</v>
      </c>
      <c r="D290" s="1117"/>
      <c r="E290" s="1118"/>
      <c r="F290" s="598" t="s">
        <v>105</v>
      </c>
      <c r="G290" s="614" t="s">
        <v>314</v>
      </c>
      <c r="H290" s="614" t="s">
        <v>315</v>
      </c>
      <c r="I290" s="615" t="s">
        <v>316</v>
      </c>
    </row>
    <row r="291" spans="3:9" x14ac:dyDescent="0.2">
      <c r="C291" s="1109"/>
      <c r="D291" s="1110"/>
      <c r="E291" s="1111"/>
      <c r="F291" s="603"/>
      <c r="G291" s="603"/>
      <c r="H291" s="603"/>
      <c r="I291" s="605"/>
    </row>
    <row r="292" spans="3:9" x14ac:dyDescent="0.2">
      <c r="C292" s="1109"/>
      <c r="D292" s="1110"/>
      <c r="E292" s="1111"/>
      <c r="F292" s="603"/>
      <c r="G292" s="603"/>
      <c r="H292" s="603"/>
      <c r="I292" s="605"/>
    </row>
    <row r="293" spans="3:9" x14ac:dyDescent="0.2">
      <c r="C293" s="1109"/>
      <c r="D293" s="1110"/>
      <c r="E293" s="1111"/>
      <c r="F293" s="603"/>
      <c r="G293" s="603"/>
      <c r="H293" s="603"/>
      <c r="I293" s="605"/>
    </row>
    <row r="294" spans="3:9" x14ac:dyDescent="0.2">
      <c r="C294" s="1109"/>
      <c r="D294" s="1110"/>
      <c r="E294" s="1111"/>
      <c r="F294" s="603"/>
      <c r="G294" s="603"/>
      <c r="H294" s="603"/>
      <c r="I294" s="605"/>
    </row>
    <row r="295" spans="3:9" x14ac:dyDescent="0.2">
      <c r="C295" s="1109"/>
      <c r="D295" s="1110"/>
      <c r="E295" s="1111"/>
      <c r="F295" s="603"/>
      <c r="G295" s="603"/>
      <c r="H295" s="603"/>
      <c r="I295" s="605"/>
    </row>
    <row r="296" spans="3:9" x14ac:dyDescent="0.2">
      <c r="C296" s="1109"/>
      <c r="D296" s="1110"/>
      <c r="E296" s="1111"/>
      <c r="F296" s="603"/>
      <c r="G296" s="603"/>
      <c r="H296" s="603"/>
      <c r="I296" s="605"/>
    </row>
    <row r="297" spans="3:9" x14ac:dyDescent="0.2">
      <c r="C297" s="1109"/>
      <c r="D297" s="1110"/>
      <c r="E297" s="1111"/>
      <c r="F297" s="603"/>
      <c r="G297" s="603"/>
      <c r="H297" s="603"/>
      <c r="I297" s="605"/>
    </row>
    <row r="298" spans="3:9" x14ac:dyDescent="0.2">
      <c r="C298" s="1109"/>
      <c r="D298" s="1110"/>
      <c r="E298" s="1111"/>
      <c r="F298" s="603"/>
      <c r="G298" s="603"/>
      <c r="H298" s="603"/>
      <c r="I298" s="605"/>
    </row>
    <row r="299" spans="3:9" x14ac:dyDescent="0.2">
      <c r="C299" s="1109"/>
      <c r="D299" s="1110"/>
      <c r="E299" s="1111"/>
      <c r="F299" s="603"/>
      <c r="G299" s="603"/>
      <c r="H299" s="603"/>
      <c r="I299" s="605"/>
    </row>
    <row r="300" spans="3:9" x14ac:dyDescent="0.2">
      <c r="C300" s="1109"/>
      <c r="D300" s="1110"/>
      <c r="E300" s="1111"/>
      <c r="F300" s="603"/>
      <c r="G300" s="603"/>
      <c r="H300" s="603"/>
      <c r="I300" s="605"/>
    </row>
    <row r="301" spans="3:9" ht="13.5" thickBot="1" x14ac:dyDescent="0.25">
      <c r="C301" s="1112"/>
      <c r="D301" s="1113"/>
      <c r="E301" s="1114"/>
      <c r="F301" s="606"/>
      <c r="G301" s="606"/>
      <c r="H301" s="606"/>
      <c r="I301" s="607"/>
    </row>
    <row r="302" spans="3:9" ht="15.75" thickBot="1" x14ac:dyDescent="0.3">
      <c r="E302" s="601" t="s">
        <v>99</v>
      </c>
      <c r="F302" s="766">
        <f>SUM(F291:F301)</f>
        <v>0</v>
      </c>
      <c r="G302" s="766">
        <f>SUM(G291:G301)</f>
        <v>0</v>
      </c>
      <c r="H302" s="766">
        <f>SUM(H291:H301)</f>
        <v>0</v>
      </c>
      <c r="I302" s="766">
        <f>SUM(I291:I301)</f>
        <v>0</v>
      </c>
    </row>
    <row r="303" spans="3:9" x14ac:dyDescent="0.2"/>
    <row r="304" spans="3:9" ht="15.75" thickBot="1" x14ac:dyDescent="0.3">
      <c r="C304" s="1115" t="s">
        <v>311</v>
      </c>
      <c r="D304" s="1115"/>
      <c r="E304" s="597">
        <v>19</v>
      </c>
      <c r="F304" s="601" t="s">
        <v>309</v>
      </c>
      <c r="G304" s="597"/>
    </row>
    <row r="305" spans="3:9" x14ac:dyDescent="0.2">
      <c r="C305" s="1116" t="s">
        <v>310</v>
      </c>
      <c r="D305" s="1117"/>
      <c r="E305" s="1118"/>
      <c r="F305" s="598" t="s">
        <v>105</v>
      </c>
      <c r="G305" s="614" t="s">
        <v>314</v>
      </c>
      <c r="H305" s="614" t="s">
        <v>315</v>
      </c>
      <c r="I305" s="615" t="s">
        <v>316</v>
      </c>
    </row>
    <row r="306" spans="3:9" x14ac:dyDescent="0.2">
      <c r="C306" s="1109"/>
      <c r="D306" s="1110"/>
      <c r="E306" s="1111"/>
      <c r="F306" s="603"/>
      <c r="G306" s="603"/>
      <c r="H306" s="603"/>
      <c r="I306" s="605"/>
    </row>
    <row r="307" spans="3:9" x14ac:dyDescent="0.2">
      <c r="C307" s="1109"/>
      <c r="D307" s="1110"/>
      <c r="E307" s="1111"/>
      <c r="F307" s="603"/>
      <c r="G307" s="603"/>
      <c r="H307" s="603"/>
      <c r="I307" s="605"/>
    </row>
    <row r="308" spans="3:9" x14ac:dyDescent="0.2">
      <c r="C308" s="1109"/>
      <c r="D308" s="1110"/>
      <c r="E308" s="1111"/>
      <c r="F308" s="603"/>
      <c r="G308" s="603"/>
      <c r="H308" s="603"/>
      <c r="I308" s="605"/>
    </row>
    <row r="309" spans="3:9" x14ac:dyDescent="0.2">
      <c r="C309" s="1109"/>
      <c r="D309" s="1110"/>
      <c r="E309" s="1111"/>
      <c r="F309" s="603"/>
      <c r="G309" s="603"/>
      <c r="H309" s="603"/>
      <c r="I309" s="605"/>
    </row>
    <row r="310" spans="3:9" x14ac:dyDescent="0.2">
      <c r="C310" s="1109"/>
      <c r="D310" s="1110"/>
      <c r="E310" s="1111"/>
      <c r="F310" s="603"/>
      <c r="G310" s="603"/>
      <c r="H310" s="603"/>
      <c r="I310" s="605"/>
    </row>
    <row r="311" spans="3:9" x14ac:dyDescent="0.2">
      <c r="C311" s="1109"/>
      <c r="D311" s="1110"/>
      <c r="E311" s="1111"/>
      <c r="F311" s="603"/>
      <c r="G311" s="603"/>
      <c r="H311" s="603"/>
      <c r="I311" s="605"/>
    </row>
    <row r="312" spans="3:9" x14ac:dyDescent="0.2">
      <c r="C312" s="1109"/>
      <c r="D312" s="1110"/>
      <c r="E312" s="1111"/>
      <c r="F312" s="603"/>
      <c r="G312" s="603"/>
      <c r="H312" s="603"/>
      <c r="I312" s="605"/>
    </row>
    <row r="313" spans="3:9" x14ac:dyDescent="0.2">
      <c r="C313" s="1109"/>
      <c r="D313" s="1110"/>
      <c r="E313" s="1111"/>
      <c r="F313" s="603"/>
      <c r="G313" s="603"/>
      <c r="H313" s="603"/>
      <c r="I313" s="605"/>
    </row>
    <row r="314" spans="3:9" x14ac:dyDescent="0.2">
      <c r="C314" s="1109"/>
      <c r="D314" s="1110"/>
      <c r="E314" s="1111"/>
      <c r="F314" s="603"/>
      <c r="G314" s="603"/>
      <c r="H314" s="603"/>
      <c r="I314" s="605"/>
    </row>
    <row r="315" spans="3:9" x14ac:dyDescent="0.2">
      <c r="C315" s="1109"/>
      <c r="D315" s="1110"/>
      <c r="E315" s="1111"/>
      <c r="F315" s="603"/>
      <c r="G315" s="603"/>
      <c r="H315" s="603"/>
      <c r="I315" s="605"/>
    </row>
    <row r="316" spans="3:9" ht="13.5" thickBot="1" x14ac:dyDescent="0.25">
      <c r="C316" s="1112"/>
      <c r="D316" s="1113"/>
      <c r="E316" s="1114"/>
      <c r="F316" s="606"/>
      <c r="G316" s="606"/>
      <c r="H316" s="606"/>
      <c r="I316" s="607"/>
    </row>
    <row r="317" spans="3:9" ht="15.75" thickBot="1" x14ac:dyDescent="0.3">
      <c r="E317" s="601" t="s">
        <v>99</v>
      </c>
      <c r="F317" s="766">
        <f>SUM(F306:F316)</f>
        <v>0</v>
      </c>
      <c r="G317" s="766">
        <f>SUM(G306:G316)</f>
        <v>0</v>
      </c>
      <c r="H317" s="766">
        <f>SUM(H306:H316)</f>
        <v>0</v>
      </c>
      <c r="I317" s="766">
        <f>SUM(I306:I316)</f>
        <v>0</v>
      </c>
    </row>
    <row r="318" spans="3:9" x14ac:dyDescent="0.2"/>
    <row r="319" spans="3:9" ht="15.75" thickBot="1" x14ac:dyDescent="0.3">
      <c r="C319" s="1115" t="s">
        <v>311</v>
      </c>
      <c r="D319" s="1115"/>
      <c r="E319" s="597">
        <v>20</v>
      </c>
      <c r="F319" s="601" t="s">
        <v>309</v>
      </c>
      <c r="G319" s="597"/>
    </row>
    <row r="320" spans="3:9" x14ac:dyDescent="0.2">
      <c r="C320" s="1116" t="s">
        <v>310</v>
      </c>
      <c r="D320" s="1117"/>
      <c r="E320" s="1118"/>
      <c r="F320" s="598" t="s">
        <v>105</v>
      </c>
      <c r="G320" s="614" t="s">
        <v>314</v>
      </c>
      <c r="H320" s="614" t="s">
        <v>315</v>
      </c>
      <c r="I320" s="615" t="s">
        <v>316</v>
      </c>
    </row>
    <row r="321" spans="3:9" x14ac:dyDescent="0.2">
      <c r="C321" s="1109"/>
      <c r="D321" s="1110"/>
      <c r="E321" s="1111"/>
      <c r="F321" s="603"/>
      <c r="G321" s="603"/>
      <c r="H321" s="603"/>
      <c r="I321" s="605"/>
    </row>
    <row r="322" spans="3:9" x14ac:dyDescent="0.2">
      <c r="C322" s="1109"/>
      <c r="D322" s="1110"/>
      <c r="E322" s="1111"/>
      <c r="F322" s="603"/>
      <c r="G322" s="603"/>
      <c r="H322" s="603"/>
      <c r="I322" s="605"/>
    </row>
    <row r="323" spans="3:9" x14ac:dyDescent="0.2">
      <c r="C323" s="1109"/>
      <c r="D323" s="1110"/>
      <c r="E323" s="1111"/>
      <c r="F323" s="603"/>
      <c r="G323" s="603"/>
      <c r="H323" s="603"/>
      <c r="I323" s="605"/>
    </row>
    <row r="324" spans="3:9" x14ac:dyDescent="0.2">
      <c r="C324" s="1109"/>
      <c r="D324" s="1110"/>
      <c r="E324" s="1111"/>
      <c r="F324" s="603"/>
      <c r="G324" s="603"/>
      <c r="H324" s="603"/>
      <c r="I324" s="605"/>
    </row>
    <row r="325" spans="3:9" x14ac:dyDescent="0.2">
      <c r="C325" s="1109"/>
      <c r="D325" s="1110"/>
      <c r="E325" s="1111"/>
      <c r="F325" s="603"/>
      <c r="G325" s="603"/>
      <c r="H325" s="603"/>
      <c r="I325" s="605"/>
    </row>
    <row r="326" spans="3:9" x14ac:dyDescent="0.2">
      <c r="C326" s="1109"/>
      <c r="D326" s="1110"/>
      <c r="E326" s="1111"/>
      <c r="F326" s="603"/>
      <c r="G326" s="603"/>
      <c r="H326" s="603"/>
      <c r="I326" s="605"/>
    </row>
    <row r="327" spans="3:9" x14ac:dyDescent="0.2">
      <c r="C327" s="1109"/>
      <c r="D327" s="1110"/>
      <c r="E327" s="1111"/>
      <c r="F327" s="603"/>
      <c r="G327" s="603"/>
      <c r="H327" s="603"/>
      <c r="I327" s="605"/>
    </row>
    <row r="328" spans="3:9" x14ac:dyDescent="0.2">
      <c r="C328" s="1109"/>
      <c r="D328" s="1110"/>
      <c r="E328" s="1111"/>
      <c r="F328" s="603"/>
      <c r="G328" s="603"/>
      <c r="H328" s="603"/>
      <c r="I328" s="605"/>
    </row>
    <row r="329" spans="3:9" x14ac:dyDescent="0.2">
      <c r="C329" s="1109"/>
      <c r="D329" s="1110"/>
      <c r="E329" s="1111"/>
      <c r="F329" s="603"/>
      <c r="G329" s="603"/>
      <c r="H329" s="603"/>
      <c r="I329" s="605"/>
    </row>
    <row r="330" spans="3:9" x14ac:dyDescent="0.2">
      <c r="C330" s="1109"/>
      <c r="D330" s="1110"/>
      <c r="E330" s="1111"/>
      <c r="F330" s="603"/>
      <c r="G330" s="603"/>
      <c r="H330" s="603"/>
      <c r="I330" s="605"/>
    </row>
    <row r="331" spans="3:9" ht="13.5" thickBot="1" x14ac:dyDescent="0.25">
      <c r="C331" s="1112"/>
      <c r="D331" s="1113"/>
      <c r="E331" s="1114"/>
      <c r="F331" s="606"/>
      <c r="G331" s="606"/>
      <c r="H331" s="606"/>
      <c r="I331" s="607"/>
    </row>
    <row r="332" spans="3:9" ht="15.75" thickBot="1" x14ac:dyDescent="0.3">
      <c r="E332" s="601" t="s">
        <v>99</v>
      </c>
      <c r="F332" s="766">
        <f>SUM(F321:F331)</f>
        <v>0</v>
      </c>
      <c r="G332" s="766">
        <f>SUM(G321:G331)</f>
        <v>0</v>
      </c>
      <c r="H332" s="766">
        <f>SUM(H321:H331)</f>
        <v>0</v>
      </c>
      <c r="I332" s="766">
        <f>SUM(I321:I331)</f>
        <v>0</v>
      </c>
    </row>
    <row r="333" spans="3:9" x14ac:dyDescent="0.2"/>
    <row r="334" spans="3:9" ht="15.75" thickBot="1" x14ac:dyDescent="0.3">
      <c r="C334" s="1115" t="s">
        <v>311</v>
      </c>
      <c r="D334" s="1115"/>
      <c r="E334" s="597">
        <v>21</v>
      </c>
      <c r="F334" s="601" t="s">
        <v>309</v>
      </c>
      <c r="G334" s="597"/>
    </row>
    <row r="335" spans="3:9" x14ac:dyDescent="0.2">
      <c r="C335" s="1116" t="s">
        <v>310</v>
      </c>
      <c r="D335" s="1117"/>
      <c r="E335" s="1118"/>
      <c r="F335" s="598" t="s">
        <v>105</v>
      </c>
      <c r="G335" s="614" t="s">
        <v>314</v>
      </c>
      <c r="H335" s="614" t="s">
        <v>315</v>
      </c>
      <c r="I335" s="615" t="s">
        <v>316</v>
      </c>
    </row>
    <row r="336" spans="3:9" x14ac:dyDescent="0.2">
      <c r="C336" s="1109"/>
      <c r="D336" s="1110"/>
      <c r="E336" s="1111"/>
      <c r="F336" s="603"/>
      <c r="G336" s="603"/>
      <c r="H336" s="603"/>
      <c r="I336" s="605"/>
    </row>
    <row r="337" spans="3:9" x14ac:dyDescent="0.2">
      <c r="C337" s="1109"/>
      <c r="D337" s="1110"/>
      <c r="E337" s="1111"/>
      <c r="F337" s="603"/>
      <c r="G337" s="603"/>
      <c r="H337" s="603"/>
      <c r="I337" s="605"/>
    </row>
    <row r="338" spans="3:9" x14ac:dyDescent="0.2">
      <c r="C338" s="1109"/>
      <c r="D338" s="1110"/>
      <c r="E338" s="1111"/>
      <c r="F338" s="603"/>
      <c r="G338" s="603"/>
      <c r="H338" s="603"/>
      <c r="I338" s="605"/>
    </row>
    <row r="339" spans="3:9" x14ac:dyDescent="0.2">
      <c r="C339" s="1109"/>
      <c r="D339" s="1110"/>
      <c r="E339" s="1111"/>
      <c r="F339" s="603"/>
      <c r="G339" s="603"/>
      <c r="H339" s="603"/>
      <c r="I339" s="605"/>
    </row>
    <row r="340" spans="3:9" x14ac:dyDescent="0.2">
      <c r="C340" s="1109"/>
      <c r="D340" s="1110"/>
      <c r="E340" s="1111"/>
      <c r="F340" s="603"/>
      <c r="G340" s="603"/>
      <c r="H340" s="603"/>
      <c r="I340" s="605"/>
    </row>
    <row r="341" spans="3:9" x14ac:dyDescent="0.2">
      <c r="C341" s="1109"/>
      <c r="D341" s="1110"/>
      <c r="E341" s="1111"/>
      <c r="F341" s="603"/>
      <c r="G341" s="603"/>
      <c r="H341" s="603"/>
      <c r="I341" s="605"/>
    </row>
    <row r="342" spans="3:9" x14ac:dyDescent="0.2">
      <c r="C342" s="1109"/>
      <c r="D342" s="1110"/>
      <c r="E342" s="1111"/>
      <c r="F342" s="603"/>
      <c r="G342" s="603"/>
      <c r="H342" s="603"/>
      <c r="I342" s="605"/>
    </row>
    <row r="343" spans="3:9" x14ac:dyDescent="0.2">
      <c r="C343" s="1109"/>
      <c r="D343" s="1110"/>
      <c r="E343" s="1111"/>
      <c r="F343" s="603"/>
      <c r="G343" s="603"/>
      <c r="H343" s="603"/>
      <c r="I343" s="605"/>
    </row>
    <row r="344" spans="3:9" x14ac:dyDescent="0.2">
      <c r="C344" s="1109"/>
      <c r="D344" s="1110"/>
      <c r="E344" s="1111"/>
      <c r="F344" s="603"/>
      <c r="G344" s="603"/>
      <c r="H344" s="603"/>
      <c r="I344" s="605"/>
    </row>
    <row r="345" spans="3:9" x14ac:dyDescent="0.2">
      <c r="C345" s="1109"/>
      <c r="D345" s="1110"/>
      <c r="E345" s="1111"/>
      <c r="F345" s="603"/>
      <c r="G345" s="603"/>
      <c r="H345" s="603"/>
      <c r="I345" s="605"/>
    </row>
    <row r="346" spans="3:9" ht="13.5" thickBot="1" x14ac:dyDescent="0.25">
      <c r="C346" s="1112"/>
      <c r="D346" s="1113"/>
      <c r="E346" s="1114"/>
      <c r="F346" s="606"/>
      <c r="G346" s="606"/>
      <c r="H346" s="606"/>
      <c r="I346" s="607"/>
    </row>
    <row r="347" spans="3:9" ht="15.75" thickBot="1" x14ac:dyDescent="0.3">
      <c r="E347" s="601" t="s">
        <v>99</v>
      </c>
      <c r="F347" s="766">
        <f>SUM(F336:F346)</f>
        <v>0</v>
      </c>
      <c r="G347" s="766">
        <f>SUM(G336:G346)</f>
        <v>0</v>
      </c>
      <c r="H347" s="766">
        <f>SUM(H336:H346)</f>
        <v>0</v>
      </c>
      <c r="I347" s="766">
        <f>SUM(I336:I346)</f>
        <v>0</v>
      </c>
    </row>
    <row r="348" spans="3:9" x14ac:dyDescent="0.2"/>
    <row r="349" spans="3:9" ht="15.75" thickBot="1" x14ac:dyDescent="0.3">
      <c r="C349" s="1115" t="s">
        <v>311</v>
      </c>
      <c r="D349" s="1115"/>
      <c r="E349" s="597">
        <v>22</v>
      </c>
      <c r="F349" s="601" t="s">
        <v>309</v>
      </c>
      <c r="G349" s="597"/>
    </row>
    <row r="350" spans="3:9" x14ac:dyDescent="0.2">
      <c r="C350" s="1116" t="s">
        <v>310</v>
      </c>
      <c r="D350" s="1117"/>
      <c r="E350" s="1118"/>
      <c r="F350" s="598" t="s">
        <v>105</v>
      </c>
      <c r="G350" s="614" t="s">
        <v>314</v>
      </c>
      <c r="H350" s="614" t="s">
        <v>315</v>
      </c>
      <c r="I350" s="615" t="s">
        <v>316</v>
      </c>
    </row>
    <row r="351" spans="3:9" x14ac:dyDescent="0.2">
      <c r="C351" s="1109"/>
      <c r="D351" s="1110"/>
      <c r="E351" s="1111"/>
      <c r="F351" s="603"/>
      <c r="G351" s="603"/>
      <c r="H351" s="603"/>
      <c r="I351" s="605"/>
    </row>
    <row r="352" spans="3:9" x14ac:dyDescent="0.2">
      <c r="C352" s="1109"/>
      <c r="D352" s="1110"/>
      <c r="E352" s="1111"/>
      <c r="F352" s="603"/>
      <c r="G352" s="603"/>
      <c r="H352" s="603"/>
      <c r="I352" s="605"/>
    </row>
    <row r="353" spans="3:9" x14ac:dyDescent="0.2">
      <c r="C353" s="1109"/>
      <c r="D353" s="1110"/>
      <c r="E353" s="1111"/>
      <c r="F353" s="603"/>
      <c r="G353" s="603"/>
      <c r="H353" s="603"/>
      <c r="I353" s="605"/>
    </row>
    <row r="354" spans="3:9" x14ac:dyDescent="0.2">
      <c r="C354" s="1109"/>
      <c r="D354" s="1110"/>
      <c r="E354" s="1111"/>
      <c r="F354" s="603"/>
      <c r="G354" s="603"/>
      <c r="H354" s="603"/>
      <c r="I354" s="605"/>
    </row>
    <row r="355" spans="3:9" x14ac:dyDescent="0.2">
      <c r="C355" s="1109"/>
      <c r="D355" s="1110"/>
      <c r="E355" s="1111"/>
      <c r="F355" s="603"/>
      <c r="G355" s="603"/>
      <c r="H355" s="603"/>
      <c r="I355" s="605"/>
    </row>
    <row r="356" spans="3:9" x14ac:dyDescent="0.2">
      <c r="C356" s="1109"/>
      <c r="D356" s="1110"/>
      <c r="E356" s="1111"/>
      <c r="F356" s="603"/>
      <c r="G356" s="603"/>
      <c r="H356" s="603"/>
      <c r="I356" s="605"/>
    </row>
    <row r="357" spans="3:9" x14ac:dyDescent="0.2">
      <c r="C357" s="1109"/>
      <c r="D357" s="1110"/>
      <c r="E357" s="1111"/>
      <c r="F357" s="603"/>
      <c r="G357" s="603"/>
      <c r="H357" s="603"/>
      <c r="I357" s="605"/>
    </row>
    <row r="358" spans="3:9" x14ac:dyDescent="0.2">
      <c r="C358" s="1109"/>
      <c r="D358" s="1110"/>
      <c r="E358" s="1111"/>
      <c r="F358" s="603"/>
      <c r="G358" s="603"/>
      <c r="H358" s="603"/>
      <c r="I358" s="605"/>
    </row>
    <row r="359" spans="3:9" x14ac:dyDescent="0.2">
      <c r="C359" s="1109"/>
      <c r="D359" s="1110"/>
      <c r="E359" s="1111"/>
      <c r="F359" s="603"/>
      <c r="G359" s="603"/>
      <c r="H359" s="603"/>
      <c r="I359" s="605"/>
    </row>
    <row r="360" spans="3:9" x14ac:dyDescent="0.2">
      <c r="C360" s="1109"/>
      <c r="D360" s="1110"/>
      <c r="E360" s="1111"/>
      <c r="F360" s="603"/>
      <c r="G360" s="603"/>
      <c r="H360" s="603"/>
      <c r="I360" s="605"/>
    </row>
    <row r="361" spans="3:9" ht="13.5" thickBot="1" x14ac:dyDescent="0.25">
      <c r="C361" s="1112"/>
      <c r="D361" s="1113"/>
      <c r="E361" s="1114"/>
      <c r="F361" s="606"/>
      <c r="G361" s="606"/>
      <c r="H361" s="606"/>
      <c r="I361" s="607"/>
    </row>
    <row r="362" spans="3:9" ht="15.75" thickBot="1" x14ac:dyDescent="0.3">
      <c r="E362" s="601" t="s">
        <v>99</v>
      </c>
      <c r="F362" s="766">
        <f>SUM(F351:F361)</f>
        <v>0</v>
      </c>
      <c r="G362" s="766">
        <f>SUM(G351:G361)</f>
        <v>0</v>
      </c>
      <c r="H362" s="766">
        <f>SUM(H351:H361)</f>
        <v>0</v>
      </c>
      <c r="I362" s="766">
        <f>SUM(I351:I361)</f>
        <v>0</v>
      </c>
    </row>
    <row r="363" spans="3:9" x14ac:dyDescent="0.2"/>
    <row r="364" spans="3:9" ht="15.75" thickBot="1" x14ac:dyDescent="0.3">
      <c r="C364" s="1115" t="s">
        <v>311</v>
      </c>
      <c r="D364" s="1115"/>
      <c r="E364" s="597">
        <v>23</v>
      </c>
      <c r="F364" s="601" t="s">
        <v>309</v>
      </c>
      <c r="G364" s="597"/>
    </row>
    <row r="365" spans="3:9" x14ac:dyDescent="0.2">
      <c r="C365" s="1116" t="s">
        <v>310</v>
      </c>
      <c r="D365" s="1117"/>
      <c r="E365" s="1118"/>
      <c r="F365" s="598" t="s">
        <v>105</v>
      </c>
      <c r="G365" s="614" t="s">
        <v>314</v>
      </c>
      <c r="H365" s="614" t="s">
        <v>315</v>
      </c>
      <c r="I365" s="615" t="s">
        <v>316</v>
      </c>
    </row>
    <row r="366" spans="3:9" x14ac:dyDescent="0.2">
      <c r="C366" s="1109"/>
      <c r="D366" s="1110"/>
      <c r="E366" s="1111"/>
      <c r="F366" s="603"/>
      <c r="G366" s="603"/>
      <c r="H366" s="603"/>
      <c r="I366" s="605"/>
    </row>
    <row r="367" spans="3:9" x14ac:dyDescent="0.2">
      <c r="C367" s="1109"/>
      <c r="D367" s="1110"/>
      <c r="E367" s="1111"/>
      <c r="F367" s="603"/>
      <c r="G367" s="603"/>
      <c r="H367" s="603"/>
      <c r="I367" s="605"/>
    </row>
    <row r="368" spans="3:9" x14ac:dyDescent="0.2">
      <c r="C368" s="1109"/>
      <c r="D368" s="1110"/>
      <c r="E368" s="1111"/>
      <c r="F368" s="603"/>
      <c r="G368" s="603"/>
      <c r="H368" s="603"/>
      <c r="I368" s="605"/>
    </row>
    <row r="369" spans="3:9" x14ac:dyDescent="0.2">
      <c r="C369" s="1109"/>
      <c r="D369" s="1110"/>
      <c r="E369" s="1111"/>
      <c r="F369" s="603"/>
      <c r="G369" s="603"/>
      <c r="H369" s="603"/>
      <c r="I369" s="605"/>
    </row>
    <row r="370" spans="3:9" x14ac:dyDescent="0.2">
      <c r="C370" s="1109"/>
      <c r="D370" s="1110"/>
      <c r="E370" s="1111"/>
      <c r="F370" s="603"/>
      <c r="G370" s="603"/>
      <c r="H370" s="603"/>
      <c r="I370" s="605"/>
    </row>
    <row r="371" spans="3:9" x14ac:dyDescent="0.2">
      <c r="C371" s="1109"/>
      <c r="D371" s="1110"/>
      <c r="E371" s="1111"/>
      <c r="F371" s="603"/>
      <c r="G371" s="603"/>
      <c r="H371" s="603"/>
      <c r="I371" s="605"/>
    </row>
    <row r="372" spans="3:9" x14ac:dyDescent="0.2">
      <c r="C372" s="1109"/>
      <c r="D372" s="1110"/>
      <c r="E372" s="1111"/>
      <c r="F372" s="603"/>
      <c r="G372" s="603"/>
      <c r="H372" s="603"/>
      <c r="I372" s="605"/>
    </row>
    <row r="373" spans="3:9" x14ac:dyDescent="0.2">
      <c r="C373" s="1109"/>
      <c r="D373" s="1110"/>
      <c r="E373" s="1111"/>
      <c r="F373" s="603"/>
      <c r="G373" s="603"/>
      <c r="H373" s="603"/>
      <c r="I373" s="605"/>
    </row>
    <row r="374" spans="3:9" x14ac:dyDescent="0.2">
      <c r="C374" s="1109"/>
      <c r="D374" s="1110"/>
      <c r="E374" s="1111"/>
      <c r="F374" s="603"/>
      <c r="G374" s="603"/>
      <c r="H374" s="603"/>
      <c r="I374" s="605"/>
    </row>
    <row r="375" spans="3:9" x14ac:dyDescent="0.2">
      <c r="C375" s="1109"/>
      <c r="D375" s="1110"/>
      <c r="E375" s="1111"/>
      <c r="F375" s="603"/>
      <c r="G375" s="603"/>
      <c r="H375" s="603"/>
      <c r="I375" s="605"/>
    </row>
    <row r="376" spans="3:9" ht="13.5" thickBot="1" x14ac:dyDescent="0.25">
      <c r="C376" s="1112"/>
      <c r="D376" s="1113"/>
      <c r="E376" s="1114"/>
      <c r="F376" s="606"/>
      <c r="G376" s="606"/>
      <c r="H376" s="606"/>
      <c r="I376" s="607"/>
    </row>
    <row r="377" spans="3:9" ht="15.75" thickBot="1" x14ac:dyDescent="0.3">
      <c r="E377" s="601" t="s">
        <v>99</v>
      </c>
      <c r="F377" s="766">
        <f>SUM(F366:F376)</f>
        <v>0</v>
      </c>
      <c r="G377" s="766">
        <f>SUM(G366:G376)</f>
        <v>0</v>
      </c>
      <c r="H377" s="766">
        <f>SUM(H366:H376)</f>
        <v>0</v>
      </c>
      <c r="I377" s="766">
        <f>SUM(I366:I376)</f>
        <v>0</v>
      </c>
    </row>
    <row r="378" spans="3:9" x14ac:dyDescent="0.2"/>
    <row r="379" spans="3:9" ht="15.75" thickBot="1" x14ac:dyDescent="0.3">
      <c r="C379" s="1115" t="s">
        <v>311</v>
      </c>
      <c r="D379" s="1115"/>
      <c r="E379" s="597">
        <v>24</v>
      </c>
      <c r="F379" s="601" t="s">
        <v>309</v>
      </c>
      <c r="G379" s="597"/>
    </row>
    <row r="380" spans="3:9" x14ac:dyDescent="0.2">
      <c r="C380" s="1116" t="s">
        <v>310</v>
      </c>
      <c r="D380" s="1117"/>
      <c r="E380" s="1118"/>
      <c r="F380" s="598" t="s">
        <v>105</v>
      </c>
      <c r="G380" s="614" t="s">
        <v>314</v>
      </c>
      <c r="H380" s="614" t="s">
        <v>315</v>
      </c>
      <c r="I380" s="615" t="s">
        <v>316</v>
      </c>
    </row>
    <row r="381" spans="3:9" x14ac:dyDescent="0.2">
      <c r="C381" s="1109"/>
      <c r="D381" s="1110"/>
      <c r="E381" s="1111"/>
      <c r="F381" s="603"/>
      <c r="G381" s="603"/>
      <c r="H381" s="603"/>
      <c r="I381" s="605"/>
    </row>
    <row r="382" spans="3:9" x14ac:dyDescent="0.2">
      <c r="C382" s="1109"/>
      <c r="D382" s="1110"/>
      <c r="E382" s="1111"/>
      <c r="F382" s="603"/>
      <c r="G382" s="603"/>
      <c r="H382" s="603"/>
      <c r="I382" s="605"/>
    </row>
    <row r="383" spans="3:9" x14ac:dyDescent="0.2">
      <c r="C383" s="1109"/>
      <c r="D383" s="1110"/>
      <c r="E383" s="1111"/>
      <c r="F383" s="603"/>
      <c r="G383" s="603"/>
      <c r="H383" s="603"/>
      <c r="I383" s="605"/>
    </row>
    <row r="384" spans="3:9" x14ac:dyDescent="0.2">
      <c r="C384" s="1109"/>
      <c r="D384" s="1110"/>
      <c r="E384" s="1111"/>
      <c r="F384" s="603"/>
      <c r="G384" s="603"/>
      <c r="H384" s="603"/>
      <c r="I384" s="605"/>
    </row>
    <row r="385" spans="3:9" x14ac:dyDescent="0.2">
      <c r="C385" s="1109"/>
      <c r="D385" s="1110"/>
      <c r="E385" s="1111"/>
      <c r="F385" s="603"/>
      <c r="G385" s="603"/>
      <c r="H385" s="603"/>
      <c r="I385" s="605"/>
    </row>
    <row r="386" spans="3:9" x14ac:dyDescent="0.2">
      <c r="C386" s="1109"/>
      <c r="D386" s="1110"/>
      <c r="E386" s="1111"/>
      <c r="F386" s="603"/>
      <c r="G386" s="603"/>
      <c r="H386" s="603"/>
      <c r="I386" s="605"/>
    </row>
    <row r="387" spans="3:9" x14ac:dyDescent="0.2">
      <c r="C387" s="1109"/>
      <c r="D387" s="1110"/>
      <c r="E387" s="1111"/>
      <c r="F387" s="603"/>
      <c r="G387" s="603"/>
      <c r="H387" s="603"/>
      <c r="I387" s="605"/>
    </row>
    <row r="388" spans="3:9" x14ac:dyDescent="0.2">
      <c r="C388" s="1109"/>
      <c r="D388" s="1110"/>
      <c r="E388" s="1111"/>
      <c r="F388" s="603"/>
      <c r="G388" s="603"/>
      <c r="H388" s="603"/>
      <c r="I388" s="605"/>
    </row>
    <row r="389" spans="3:9" x14ac:dyDescent="0.2">
      <c r="C389" s="1109"/>
      <c r="D389" s="1110"/>
      <c r="E389" s="1111"/>
      <c r="F389" s="603"/>
      <c r="G389" s="603"/>
      <c r="H389" s="603"/>
      <c r="I389" s="605"/>
    </row>
    <row r="390" spans="3:9" x14ac:dyDescent="0.2">
      <c r="C390" s="1109"/>
      <c r="D390" s="1110"/>
      <c r="E390" s="1111"/>
      <c r="F390" s="603"/>
      <c r="G390" s="603"/>
      <c r="H390" s="603"/>
      <c r="I390" s="605"/>
    </row>
    <row r="391" spans="3:9" ht="13.5" thickBot="1" x14ac:dyDescent="0.25">
      <c r="C391" s="1112"/>
      <c r="D391" s="1113"/>
      <c r="E391" s="1114"/>
      <c r="F391" s="606"/>
      <c r="G391" s="606"/>
      <c r="H391" s="606"/>
      <c r="I391" s="607"/>
    </row>
    <row r="392" spans="3:9" ht="15.75" thickBot="1" x14ac:dyDescent="0.3">
      <c r="E392" s="601" t="s">
        <v>99</v>
      </c>
      <c r="F392" s="766">
        <f>SUM(F381:F391)</f>
        <v>0</v>
      </c>
      <c r="G392" s="766">
        <f>SUM(G381:G391)</f>
        <v>0</v>
      </c>
      <c r="H392" s="766">
        <f>SUM(H381:H391)</f>
        <v>0</v>
      </c>
      <c r="I392" s="766">
        <f>SUM(I381:I391)</f>
        <v>0</v>
      </c>
    </row>
    <row r="393" spans="3:9" x14ac:dyDescent="0.2"/>
    <row r="394" spans="3:9" ht="15.75" thickBot="1" x14ac:dyDescent="0.3">
      <c r="C394" s="1115" t="s">
        <v>311</v>
      </c>
      <c r="D394" s="1115"/>
      <c r="E394" s="597">
        <v>25</v>
      </c>
      <c r="F394" s="601" t="s">
        <v>309</v>
      </c>
      <c r="G394" s="597"/>
    </row>
    <row r="395" spans="3:9" x14ac:dyDescent="0.2">
      <c r="C395" s="1116" t="s">
        <v>310</v>
      </c>
      <c r="D395" s="1117"/>
      <c r="E395" s="1118"/>
      <c r="F395" s="598" t="s">
        <v>105</v>
      </c>
      <c r="G395" s="614" t="s">
        <v>314</v>
      </c>
      <c r="H395" s="614" t="s">
        <v>315</v>
      </c>
      <c r="I395" s="615" t="s">
        <v>316</v>
      </c>
    </row>
    <row r="396" spans="3:9" x14ac:dyDescent="0.2">
      <c r="C396" s="1109"/>
      <c r="D396" s="1110"/>
      <c r="E396" s="1111"/>
      <c r="F396" s="603"/>
      <c r="G396" s="603"/>
      <c r="H396" s="603"/>
      <c r="I396" s="605"/>
    </row>
    <row r="397" spans="3:9" x14ac:dyDescent="0.2">
      <c r="C397" s="1109"/>
      <c r="D397" s="1110"/>
      <c r="E397" s="1111"/>
      <c r="F397" s="603"/>
      <c r="G397" s="603"/>
      <c r="H397" s="603"/>
      <c r="I397" s="605"/>
    </row>
    <row r="398" spans="3:9" x14ac:dyDescent="0.2">
      <c r="C398" s="1109"/>
      <c r="D398" s="1110"/>
      <c r="E398" s="1111"/>
      <c r="F398" s="603"/>
      <c r="G398" s="603"/>
      <c r="H398" s="603"/>
      <c r="I398" s="605"/>
    </row>
    <row r="399" spans="3:9" x14ac:dyDescent="0.2">
      <c r="C399" s="1109"/>
      <c r="D399" s="1110"/>
      <c r="E399" s="1111"/>
      <c r="F399" s="603"/>
      <c r="G399" s="603"/>
      <c r="H399" s="603"/>
      <c r="I399" s="605"/>
    </row>
    <row r="400" spans="3:9" x14ac:dyDescent="0.2">
      <c r="C400" s="1109"/>
      <c r="D400" s="1110"/>
      <c r="E400" s="1111"/>
      <c r="F400" s="603"/>
      <c r="G400" s="603"/>
      <c r="H400" s="603"/>
      <c r="I400" s="605"/>
    </row>
    <row r="401" spans="3:9" x14ac:dyDescent="0.2">
      <c r="C401" s="1109"/>
      <c r="D401" s="1110"/>
      <c r="E401" s="1111"/>
      <c r="F401" s="603"/>
      <c r="G401" s="603"/>
      <c r="H401" s="603"/>
      <c r="I401" s="605"/>
    </row>
    <row r="402" spans="3:9" x14ac:dyDescent="0.2">
      <c r="C402" s="1109"/>
      <c r="D402" s="1110"/>
      <c r="E402" s="1111"/>
      <c r="F402" s="603"/>
      <c r="G402" s="603"/>
      <c r="H402" s="603"/>
      <c r="I402" s="605"/>
    </row>
    <row r="403" spans="3:9" x14ac:dyDescent="0.2">
      <c r="C403" s="1109"/>
      <c r="D403" s="1110"/>
      <c r="E403" s="1111"/>
      <c r="F403" s="603"/>
      <c r="G403" s="603"/>
      <c r="H403" s="603"/>
      <c r="I403" s="605"/>
    </row>
    <row r="404" spans="3:9" x14ac:dyDescent="0.2">
      <c r="C404" s="1109"/>
      <c r="D404" s="1110"/>
      <c r="E404" s="1111"/>
      <c r="F404" s="603"/>
      <c r="G404" s="603"/>
      <c r="H404" s="603"/>
      <c r="I404" s="605"/>
    </row>
    <row r="405" spans="3:9" x14ac:dyDescent="0.2">
      <c r="C405" s="1109"/>
      <c r="D405" s="1110"/>
      <c r="E405" s="1111"/>
      <c r="F405" s="603"/>
      <c r="G405" s="603"/>
      <c r="H405" s="603"/>
      <c r="I405" s="605"/>
    </row>
    <row r="406" spans="3:9" ht="13.5" thickBot="1" x14ac:dyDescent="0.25">
      <c r="C406" s="1112"/>
      <c r="D406" s="1113"/>
      <c r="E406" s="1114"/>
      <c r="F406" s="606"/>
      <c r="G406" s="606"/>
      <c r="H406" s="606"/>
      <c r="I406" s="607"/>
    </row>
    <row r="407" spans="3:9" ht="15.75" thickBot="1" x14ac:dyDescent="0.3">
      <c r="E407" s="601" t="s">
        <v>99</v>
      </c>
      <c r="F407" s="766">
        <f>SUM(F396:F406)</f>
        <v>0</v>
      </c>
      <c r="G407" s="766">
        <f>SUM(G396:G406)</f>
        <v>0</v>
      </c>
      <c r="H407" s="766">
        <f>SUM(H396:H406)</f>
        <v>0</v>
      </c>
      <c r="I407" s="766">
        <f>SUM(I396:I406)</f>
        <v>0</v>
      </c>
    </row>
    <row r="408" spans="3:9" x14ac:dyDescent="0.2"/>
    <row r="409" spans="3:9" x14ac:dyDescent="0.2"/>
  </sheetData>
  <sheetProtection sheet="1" insertRows="0"/>
  <mergeCells count="360">
    <mergeCell ref="C170:E170"/>
    <mergeCell ref="C171:E171"/>
    <mergeCell ref="C172:E172"/>
    <mergeCell ref="C169:D169"/>
    <mergeCell ref="D5:G5"/>
    <mergeCell ref="C179:E179"/>
    <mergeCell ref="C180:E180"/>
    <mergeCell ref="C181:E181"/>
    <mergeCell ref="B2:J3"/>
    <mergeCell ref="C8:F8"/>
    <mergeCell ref="C7:G7"/>
    <mergeCell ref="C9:F9"/>
    <mergeCell ref="C14:F14"/>
    <mergeCell ref="C34:D34"/>
    <mergeCell ref="C10:F10"/>
    <mergeCell ref="C173:E173"/>
    <mergeCell ref="C174:E174"/>
    <mergeCell ref="C175:E175"/>
    <mergeCell ref="C176:E176"/>
    <mergeCell ref="C177:E177"/>
    <mergeCell ref="C149:E149"/>
    <mergeCell ref="C150:E150"/>
    <mergeCell ref="C151:E151"/>
    <mergeCell ref="C155:E155"/>
    <mergeCell ref="C178:E178"/>
    <mergeCell ref="C164:E164"/>
    <mergeCell ref="C165:E165"/>
    <mergeCell ref="C166:E166"/>
    <mergeCell ref="C134:E134"/>
    <mergeCell ref="C135:E135"/>
    <mergeCell ref="C136:E136"/>
    <mergeCell ref="C140:E140"/>
    <mergeCell ref="C141:E141"/>
    <mergeCell ref="C142:E142"/>
    <mergeCell ref="C139:D139"/>
    <mergeCell ref="C156:E156"/>
    <mergeCell ref="C157:E157"/>
    <mergeCell ref="C154:D154"/>
    <mergeCell ref="C143:E143"/>
    <mergeCell ref="C144:E144"/>
    <mergeCell ref="C145:E145"/>
    <mergeCell ref="C146:E146"/>
    <mergeCell ref="C147:E147"/>
    <mergeCell ref="C148:E148"/>
    <mergeCell ref="C161:E161"/>
    <mergeCell ref="C162:E162"/>
    <mergeCell ref="C163:E163"/>
    <mergeCell ref="C158:E158"/>
    <mergeCell ref="C159:E159"/>
    <mergeCell ref="C160:E160"/>
    <mergeCell ref="C130:E130"/>
    <mergeCell ref="C131:E131"/>
    <mergeCell ref="C132:E132"/>
    <mergeCell ref="C133:E133"/>
    <mergeCell ref="C119:E119"/>
    <mergeCell ref="C120:E120"/>
    <mergeCell ref="C121:E121"/>
    <mergeCell ref="C125:E125"/>
    <mergeCell ref="C126:E126"/>
    <mergeCell ref="C127:E127"/>
    <mergeCell ref="C124:D124"/>
    <mergeCell ref="C118:E118"/>
    <mergeCell ref="C105:E105"/>
    <mergeCell ref="C106:E106"/>
    <mergeCell ref="C110:E110"/>
    <mergeCell ref="C111:E111"/>
    <mergeCell ref="C112:E112"/>
    <mergeCell ref="C109:D109"/>
    <mergeCell ref="C128:E128"/>
    <mergeCell ref="C129:E129"/>
    <mergeCell ref="C113:E113"/>
    <mergeCell ref="C114:E114"/>
    <mergeCell ref="C115:E115"/>
    <mergeCell ref="C116:E116"/>
    <mergeCell ref="C117:E117"/>
    <mergeCell ref="C104:E104"/>
    <mergeCell ref="C99:E99"/>
    <mergeCell ref="C100:E100"/>
    <mergeCell ref="C101:E101"/>
    <mergeCell ref="C103:E103"/>
    <mergeCell ref="C64:D64"/>
    <mergeCell ref="C79:D79"/>
    <mergeCell ref="C94:D94"/>
    <mergeCell ref="C97:E97"/>
    <mergeCell ref="C87:E87"/>
    <mergeCell ref="C72:E72"/>
    <mergeCell ref="C91:E91"/>
    <mergeCell ref="C70:E70"/>
    <mergeCell ref="C71:E71"/>
    <mergeCell ref="C102:E102"/>
    <mergeCell ref="C95:E95"/>
    <mergeCell ref="C96:E96"/>
    <mergeCell ref="C98:E98"/>
    <mergeCell ref="C69:E69"/>
    <mergeCell ref="C73:E73"/>
    <mergeCell ref="C74:E74"/>
    <mergeCell ref="C83:E83"/>
    <mergeCell ref="C84:E84"/>
    <mergeCell ref="C85:E85"/>
    <mergeCell ref="C86:E86"/>
    <mergeCell ref="C75:E75"/>
    <mergeCell ref="C76:E76"/>
    <mergeCell ref="C89:E89"/>
    <mergeCell ref="C30:D30"/>
    <mergeCell ref="C31:D31"/>
    <mergeCell ref="C90:E90"/>
    <mergeCell ref="C88:E88"/>
    <mergeCell ref="C80:E80"/>
    <mergeCell ref="C81:E81"/>
    <mergeCell ref="C82:E82"/>
    <mergeCell ref="C49:D49"/>
    <mergeCell ref="C61:E61"/>
    <mergeCell ref="C51:E51"/>
    <mergeCell ref="C52:E52"/>
    <mergeCell ref="C65:E65"/>
    <mergeCell ref="C68:E68"/>
    <mergeCell ref="C60:E60"/>
    <mergeCell ref="C58:E58"/>
    <mergeCell ref="C59:E59"/>
    <mergeCell ref="O68:O69"/>
    <mergeCell ref="K70:N71"/>
    <mergeCell ref="O70:O71"/>
    <mergeCell ref="K72:N72"/>
    <mergeCell ref="K74:N74"/>
    <mergeCell ref="K75:N75"/>
    <mergeCell ref="K68:N69"/>
    <mergeCell ref="C43:E43"/>
    <mergeCell ref="C57:E57"/>
    <mergeCell ref="C56:E56"/>
    <mergeCell ref="C44:E44"/>
    <mergeCell ref="C45:E45"/>
    <mergeCell ref="K76:N76"/>
    <mergeCell ref="C36:E36"/>
    <mergeCell ref="C37:E37"/>
    <mergeCell ref="C38:E38"/>
    <mergeCell ref="C39:E39"/>
    <mergeCell ref="C53:E53"/>
    <mergeCell ref="C54:E54"/>
    <mergeCell ref="C66:E66"/>
    <mergeCell ref="C67:E67"/>
    <mergeCell ref="C55:E55"/>
    <mergeCell ref="K11:N12"/>
    <mergeCell ref="K34:O34"/>
    <mergeCell ref="C46:E46"/>
    <mergeCell ref="C35:E35"/>
    <mergeCell ref="C50:E50"/>
    <mergeCell ref="C15:F15"/>
    <mergeCell ref="C16:F16"/>
    <mergeCell ref="C40:E40"/>
    <mergeCell ref="C41:E41"/>
    <mergeCell ref="C42:E42"/>
    <mergeCell ref="C11:F11"/>
    <mergeCell ref="C12:F12"/>
    <mergeCell ref="C13:F13"/>
    <mergeCell ref="C19:D19"/>
    <mergeCell ref="C20:D20"/>
    <mergeCell ref="C21:D21"/>
    <mergeCell ref="C22:D22"/>
    <mergeCell ref="C23:D23"/>
    <mergeCell ref="C24:D24"/>
    <mergeCell ref="C25:D25"/>
    <mergeCell ref="C26:D26"/>
    <mergeCell ref="C27:D27"/>
    <mergeCell ref="C28:D28"/>
    <mergeCell ref="C29:D29"/>
    <mergeCell ref="C184:D184"/>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9:D199"/>
    <mergeCell ref="C200:E200"/>
    <mergeCell ref="C201:E201"/>
    <mergeCell ref="C202:E202"/>
    <mergeCell ref="C203:E203"/>
    <mergeCell ref="C204:E204"/>
    <mergeCell ref="C205:E205"/>
    <mergeCell ref="C206:E206"/>
    <mergeCell ref="C207:E207"/>
    <mergeCell ref="C208:E208"/>
    <mergeCell ref="C209:E209"/>
    <mergeCell ref="C210:E210"/>
    <mergeCell ref="C211:E211"/>
    <mergeCell ref="C214:D214"/>
    <mergeCell ref="C215:E215"/>
    <mergeCell ref="C216:E216"/>
    <mergeCell ref="C217:E217"/>
    <mergeCell ref="C218:E218"/>
    <mergeCell ref="C219:E219"/>
    <mergeCell ref="C220:E220"/>
    <mergeCell ref="C221:E221"/>
    <mergeCell ref="C222:E222"/>
    <mergeCell ref="C223:E223"/>
    <mergeCell ref="C224:E224"/>
    <mergeCell ref="C225:E225"/>
    <mergeCell ref="C226:E226"/>
    <mergeCell ref="C229:D229"/>
    <mergeCell ref="C230:E230"/>
    <mergeCell ref="C231:E231"/>
    <mergeCell ref="C232:E232"/>
    <mergeCell ref="C233:E233"/>
    <mergeCell ref="C234:E234"/>
    <mergeCell ref="C235:E235"/>
    <mergeCell ref="C236:E236"/>
    <mergeCell ref="C237:E237"/>
    <mergeCell ref="C238:E238"/>
    <mergeCell ref="C239:E239"/>
    <mergeCell ref="C240:E240"/>
    <mergeCell ref="C241:E241"/>
    <mergeCell ref="C244:D244"/>
    <mergeCell ref="C245:E245"/>
    <mergeCell ref="C246:E246"/>
    <mergeCell ref="C247:E247"/>
    <mergeCell ref="C248:E248"/>
    <mergeCell ref="C249:E249"/>
    <mergeCell ref="C250:E250"/>
    <mergeCell ref="C251:E251"/>
    <mergeCell ref="C252:E252"/>
    <mergeCell ref="C253:E253"/>
    <mergeCell ref="C254:E254"/>
    <mergeCell ref="C255:E255"/>
    <mergeCell ref="C256:E256"/>
    <mergeCell ref="C259:D259"/>
    <mergeCell ref="C260:E260"/>
    <mergeCell ref="C261:E261"/>
    <mergeCell ref="C262:E262"/>
    <mergeCell ref="C263:E263"/>
    <mergeCell ref="C264:E264"/>
    <mergeCell ref="C265:E265"/>
    <mergeCell ref="C266:E266"/>
    <mergeCell ref="C267:E267"/>
    <mergeCell ref="C268:E268"/>
    <mergeCell ref="C269:E269"/>
    <mergeCell ref="C270:E270"/>
    <mergeCell ref="C271:E271"/>
    <mergeCell ref="C274:D274"/>
    <mergeCell ref="C275:E275"/>
    <mergeCell ref="C276:E276"/>
    <mergeCell ref="C277:E277"/>
    <mergeCell ref="C278:E278"/>
    <mergeCell ref="C279:E279"/>
    <mergeCell ref="C280:E280"/>
    <mergeCell ref="C281:E281"/>
    <mergeCell ref="C282:E282"/>
    <mergeCell ref="C283:E283"/>
    <mergeCell ref="C284:E284"/>
    <mergeCell ref="C285:E285"/>
    <mergeCell ref="C286:E286"/>
    <mergeCell ref="C289:D289"/>
    <mergeCell ref="C290:E290"/>
    <mergeCell ref="C291:E291"/>
    <mergeCell ref="C292:E292"/>
    <mergeCell ref="C293:E293"/>
    <mergeCell ref="C294:E294"/>
    <mergeCell ref="C295:E295"/>
    <mergeCell ref="C296:E296"/>
    <mergeCell ref="C297:E297"/>
    <mergeCell ref="C298:E298"/>
    <mergeCell ref="C299:E299"/>
    <mergeCell ref="C300:E300"/>
    <mergeCell ref="C301:E301"/>
    <mergeCell ref="C304:D304"/>
    <mergeCell ref="C305:E305"/>
    <mergeCell ref="C306:E306"/>
    <mergeCell ref="C307:E307"/>
    <mergeCell ref="C308:E308"/>
    <mergeCell ref="C309:E309"/>
    <mergeCell ref="C310:E310"/>
    <mergeCell ref="C311:E311"/>
    <mergeCell ref="C312:E312"/>
    <mergeCell ref="C313:E313"/>
    <mergeCell ref="C314:E314"/>
    <mergeCell ref="C315:E315"/>
    <mergeCell ref="C316:E316"/>
    <mergeCell ref="C319:D319"/>
    <mergeCell ref="C320:E320"/>
    <mergeCell ref="C321:E321"/>
    <mergeCell ref="C322:E322"/>
    <mergeCell ref="C323:E323"/>
    <mergeCell ref="C324:E324"/>
    <mergeCell ref="C325:E325"/>
    <mergeCell ref="C326:E326"/>
    <mergeCell ref="C327:E327"/>
    <mergeCell ref="C328:E328"/>
    <mergeCell ref="C329:E329"/>
    <mergeCell ref="C330:E330"/>
    <mergeCell ref="C331:E331"/>
    <mergeCell ref="C334:D334"/>
    <mergeCell ref="C335:E335"/>
    <mergeCell ref="C336:E336"/>
    <mergeCell ref="C337:E337"/>
    <mergeCell ref="C338:E338"/>
    <mergeCell ref="C339:E339"/>
    <mergeCell ref="C340:E340"/>
    <mergeCell ref="C341:E341"/>
    <mergeCell ref="C342:E342"/>
    <mergeCell ref="C343:E343"/>
    <mergeCell ref="C344:E344"/>
    <mergeCell ref="C345:E345"/>
    <mergeCell ref="C346:E346"/>
    <mergeCell ref="C349:D349"/>
    <mergeCell ref="C350:E350"/>
    <mergeCell ref="C351:E351"/>
    <mergeCell ref="C352:E352"/>
    <mergeCell ref="C353:E353"/>
    <mergeCell ref="C354:E354"/>
    <mergeCell ref="C355:E355"/>
    <mergeCell ref="C356:E356"/>
    <mergeCell ref="C357:E357"/>
    <mergeCell ref="C358:E358"/>
    <mergeCell ref="C359:E359"/>
    <mergeCell ref="C360:E360"/>
    <mergeCell ref="C361:E361"/>
    <mergeCell ref="C364:D364"/>
    <mergeCell ref="C365:E365"/>
    <mergeCell ref="C366:E366"/>
    <mergeCell ref="C367:E367"/>
    <mergeCell ref="C368:E368"/>
    <mergeCell ref="C369:E369"/>
    <mergeCell ref="C370:E370"/>
    <mergeCell ref="C371:E371"/>
    <mergeCell ref="C372:E372"/>
    <mergeCell ref="C373:E373"/>
    <mergeCell ref="C374:E374"/>
    <mergeCell ref="C375:E375"/>
    <mergeCell ref="C376:E376"/>
    <mergeCell ref="C379:D379"/>
    <mergeCell ref="C380:E380"/>
    <mergeCell ref="C381:E381"/>
    <mergeCell ref="C382:E382"/>
    <mergeCell ref="C383:E383"/>
    <mergeCell ref="C384:E384"/>
    <mergeCell ref="C385:E385"/>
    <mergeCell ref="C386:E386"/>
    <mergeCell ref="C387:E387"/>
    <mergeCell ref="C388:E388"/>
    <mergeCell ref="C389:E389"/>
    <mergeCell ref="C390:E390"/>
    <mergeCell ref="C391:E391"/>
    <mergeCell ref="C394:D394"/>
    <mergeCell ref="C395:E395"/>
    <mergeCell ref="C396:E396"/>
    <mergeCell ref="C397:E397"/>
    <mergeCell ref="C404:E404"/>
    <mergeCell ref="C405:E405"/>
    <mergeCell ref="C406:E406"/>
    <mergeCell ref="C398:E398"/>
    <mergeCell ref="C399:E399"/>
    <mergeCell ref="C400:E400"/>
    <mergeCell ref="C401:E401"/>
    <mergeCell ref="C402:E402"/>
    <mergeCell ref="C403:E403"/>
  </mergeCells>
  <conditionalFormatting sqref="C49:I62">
    <cfRule type="expression" dxfId="41" priority="48" stopIfTrue="1">
      <formula>$G$8&lt;2</formula>
    </cfRule>
  </conditionalFormatting>
  <conditionalFormatting sqref="C64:I77">
    <cfRule type="expression" dxfId="40" priority="47" stopIfTrue="1">
      <formula>$G$8&lt;3</formula>
    </cfRule>
  </conditionalFormatting>
  <conditionalFormatting sqref="C79:I92">
    <cfRule type="expression" dxfId="39" priority="46" stopIfTrue="1">
      <formula>$G$8&lt;4</formula>
    </cfRule>
  </conditionalFormatting>
  <conditionalFormatting sqref="C94:I107">
    <cfRule type="expression" dxfId="38" priority="45" stopIfTrue="1">
      <formula>$G$8&lt;5</formula>
    </cfRule>
  </conditionalFormatting>
  <conditionalFormatting sqref="C109:I122">
    <cfRule type="expression" dxfId="37" priority="44" stopIfTrue="1">
      <formula>$G$8&lt;6</formula>
    </cfRule>
  </conditionalFormatting>
  <conditionalFormatting sqref="C124:I137">
    <cfRule type="expression" dxfId="36" priority="43" stopIfTrue="1">
      <formula>$G$8&lt;7</formula>
    </cfRule>
  </conditionalFormatting>
  <conditionalFormatting sqref="C139:I152">
    <cfRule type="expression" dxfId="35" priority="42" stopIfTrue="1">
      <formula>$G$8&lt;8</formula>
    </cfRule>
  </conditionalFormatting>
  <conditionalFormatting sqref="C154:I167">
    <cfRule type="expression" dxfId="34" priority="41" stopIfTrue="1">
      <formula>$G$8&lt;9</formula>
    </cfRule>
  </conditionalFormatting>
  <conditionalFormatting sqref="C169:I182">
    <cfRule type="expression" dxfId="33" priority="40" stopIfTrue="1">
      <formula>$G$8&lt;10</formula>
    </cfRule>
  </conditionalFormatting>
  <conditionalFormatting sqref="C184:I197">
    <cfRule type="expression" dxfId="32" priority="15" stopIfTrue="1">
      <formula>$G$8&lt;11</formula>
    </cfRule>
  </conditionalFormatting>
  <conditionalFormatting sqref="C199:I212">
    <cfRule type="expression" dxfId="31" priority="14" stopIfTrue="1">
      <formula>$G$8&lt;12</formula>
    </cfRule>
  </conditionalFormatting>
  <conditionalFormatting sqref="C214:I227">
    <cfRule type="expression" dxfId="30" priority="13" stopIfTrue="1">
      <formula>$G$8&lt;13</formula>
    </cfRule>
  </conditionalFormatting>
  <conditionalFormatting sqref="C229:I242">
    <cfRule type="expression" dxfId="29" priority="12" stopIfTrue="1">
      <formula>$G$8&lt;14</formula>
    </cfRule>
  </conditionalFormatting>
  <conditionalFormatting sqref="C244:I257">
    <cfRule type="expression" dxfId="28" priority="11" stopIfTrue="1">
      <formula>$G$8&lt;15</formula>
    </cfRule>
  </conditionalFormatting>
  <conditionalFormatting sqref="C259:I272">
    <cfRule type="expression" dxfId="27" priority="10" stopIfTrue="1">
      <formula>$G$8&lt;16</formula>
    </cfRule>
  </conditionalFormatting>
  <conditionalFormatting sqref="C274:I287">
    <cfRule type="expression" dxfId="26" priority="9" stopIfTrue="1">
      <formula>$G$8&lt;17</formula>
    </cfRule>
  </conditionalFormatting>
  <conditionalFormatting sqref="C289:I302">
    <cfRule type="expression" dxfId="25" priority="8" stopIfTrue="1">
      <formula>$G$8&lt;18</formula>
    </cfRule>
  </conditionalFormatting>
  <conditionalFormatting sqref="C304:I317">
    <cfRule type="expression" dxfId="24" priority="7" stopIfTrue="1">
      <formula>$G$8&lt;19</formula>
    </cfRule>
  </conditionalFormatting>
  <conditionalFormatting sqref="C319:I332">
    <cfRule type="expression" dxfId="23" priority="6" stopIfTrue="1">
      <formula>$G$8&lt;20</formula>
    </cfRule>
  </conditionalFormatting>
  <conditionalFormatting sqref="C334:I347">
    <cfRule type="expression" dxfId="22" priority="5" stopIfTrue="1">
      <formula>$G$8&lt;21</formula>
    </cfRule>
  </conditionalFormatting>
  <conditionalFormatting sqref="C349:I362">
    <cfRule type="expression" dxfId="21" priority="4" stopIfTrue="1">
      <formula>$G$8&lt;22</formula>
    </cfRule>
  </conditionalFormatting>
  <conditionalFormatting sqref="C364:I377">
    <cfRule type="expression" dxfId="20" priority="3" stopIfTrue="1">
      <formula>$G$8&lt;23</formula>
    </cfRule>
  </conditionalFormatting>
  <conditionalFormatting sqref="C379:I392">
    <cfRule type="expression" dxfId="19" priority="2" stopIfTrue="1">
      <formula>$G$8&lt;24</formula>
    </cfRule>
  </conditionalFormatting>
  <conditionalFormatting sqref="C394:I407">
    <cfRule type="expression" dxfId="18" priority="1" stopIfTrue="1">
      <formula>$G$8&lt;25</formula>
    </cfRule>
  </conditionalFormatting>
  <dataValidations count="2">
    <dataValidation type="whole" errorStyle="warning" allowBlank="1" showInputMessage="1" showErrorMessage="1" errorTitle="ATTENZIONE" error="Inserire un numero compreso tra 1 e 25!" sqref="G8" xr:uid="{00000000-0002-0000-0400-000000000000}">
      <formula1>1</formula1>
      <formula2>25</formula2>
    </dataValidation>
    <dataValidation errorStyle="warning" allowBlank="1" showInputMessage="1" showErrorMessage="1" errorTitle="ATTENZIONE" error="Inserire un numero compreso tra 1 e 10!" sqref="G9:G16" xr:uid="{00000000-0002-0000-0400-000001000000}"/>
  </dataValidations>
  <hyperlinks>
    <hyperlink ref="K11:K12" location="'Procedura guidata'!A1" display="Torna alla procedura guidata!" xr:uid="{00000000-0004-0000-0400-000000000000}"/>
  </hyperlinks>
  <pageMargins left="0.11811023622047245" right="0.15748031496062992" top="0.15748031496062992" bottom="0.15748031496062992" header="0.31496062992125984" footer="0.31496062992125984"/>
  <pageSetup paperSize="9" scale="8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66"/>
    <pageSetUpPr fitToPage="1"/>
  </sheetPr>
  <dimension ref="A1:IS43"/>
  <sheetViews>
    <sheetView showGridLines="0" showZeros="0" zoomScale="95" zoomScaleNormal="95" workbookViewId="0">
      <selection activeCell="O22" sqref="O22"/>
    </sheetView>
  </sheetViews>
  <sheetFormatPr defaultColWidth="0" defaultRowHeight="0" customHeight="1" zeroHeight="1" x14ac:dyDescent="0.2"/>
  <cols>
    <col min="1" max="1" width="5.7109375" style="203" customWidth="1"/>
    <col min="2" max="2" width="5.7109375" style="204" customWidth="1"/>
    <col min="3" max="3" width="5.5703125" style="204" customWidth="1"/>
    <col min="4" max="7" width="10.7109375" style="204" customWidth="1"/>
    <col min="8" max="8" width="1.42578125" style="204" hidden="1" customWidth="1"/>
    <col min="9" max="9" width="5.42578125" style="204" hidden="1" customWidth="1"/>
    <col min="10" max="10" width="12.42578125" style="204" customWidth="1"/>
    <col min="11" max="11" width="6.7109375" style="204" customWidth="1"/>
    <col min="12" max="12" width="10.140625" style="204" customWidth="1"/>
    <col min="13" max="14" width="6.7109375" style="204" customWidth="1"/>
    <col min="15" max="15" width="12.7109375" style="204" customWidth="1"/>
    <col min="16" max="16" width="18.7109375" style="204" customWidth="1"/>
    <col min="17" max="17" width="3.28515625" style="204" customWidth="1"/>
    <col min="18" max="18" width="13.42578125" style="204" hidden="1" customWidth="1"/>
    <col min="19" max="19" width="4.42578125" style="204" hidden="1" customWidth="1"/>
    <col min="20" max="20" width="3.7109375" style="204" hidden="1" customWidth="1"/>
    <col min="21" max="21" width="8.42578125" style="204" hidden="1" customWidth="1"/>
    <col min="22" max="22" width="6.7109375" style="204" hidden="1" customWidth="1"/>
    <col min="23" max="23" width="9.42578125" style="204" hidden="1" customWidth="1"/>
    <col min="24" max="24" width="4.7109375" style="204" hidden="1" customWidth="1"/>
    <col min="25" max="25" width="3.5703125" style="204" hidden="1" customWidth="1"/>
    <col min="26" max="26" width="12.42578125" style="204" hidden="1" customWidth="1"/>
    <col min="27" max="27" width="14.28515625" style="204" hidden="1" customWidth="1"/>
    <col min="28" max="253" width="9.140625" style="204" hidden="1" customWidth="1"/>
    <col min="254" max="255" width="4.42578125" style="204" hidden="1" customWidth="1"/>
    <col min="256" max="16384" width="4.42578125" style="204" hidden="1"/>
  </cols>
  <sheetData>
    <row r="1" spans="1:17" ht="10.5" customHeight="1" thickBot="1" x14ac:dyDescent="0.25"/>
    <row r="2" spans="1:17" ht="12.6" customHeight="1" thickBot="1" x14ac:dyDescent="0.25">
      <c r="B2" s="1142" t="s">
        <v>380</v>
      </c>
      <c r="C2" s="1142"/>
      <c r="D2" s="1142"/>
      <c r="E2" s="1142"/>
      <c r="F2" s="1143"/>
      <c r="G2" s="680" t="s">
        <v>92</v>
      </c>
    </row>
    <row r="3" spans="1:17" s="210" customFormat="1" ht="12.75" customHeight="1" x14ac:dyDescent="0.2">
      <c r="A3" s="263"/>
      <c r="K3" s="772" t="str">
        <f>IF(DetClasse_Abitanti="Comune con meno di 50.000 abitanti","Parametri_Classi","Parametri_ClassiSopr50000Ab")</f>
        <v>Parametri_Classi</v>
      </c>
      <c r="L3" s="772" t="str">
        <f>IF(DetClasse_Abitanti="Comune con meno di 50.000 abitanti","Parametri_MinClassi","Parametri_MinClassiSopr50000Ab")</f>
        <v>Parametri_MinClassi</v>
      </c>
      <c r="M3" s="205"/>
      <c r="N3" s="205"/>
      <c r="O3" s="205"/>
      <c r="P3" s="241"/>
    </row>
    <row r="4" spans="1:17" s="210" customFormat="1" ht="12.75" customHeight="1" thickBot="1" x14ac:dyDescent="0.25">
      <c r="A4" s="244"/>
      <c r="B4" s="247" t="s">
        <v>19</v>
      </c>
      <c r="C4" s="248"/>
      <c r="D4" s="702" t="s">
        <v>24</v>
      </c>
      <c r="E4" s="702" t="s">
        <v>24</v>
      </c>
      <c r="F4" s="702" t="s">
        <v>24</v>
      </c>
      <c r="G4" s="702" t="s">
        <v>24</v>
      </c>
      <c r="H4" s="249" t="s">
        <v>20</v>
      </c>
      <c r="I4" s="244"/>
      <c r="J4" s="244"/>
      <c r="K4" s="244"/>
      <c r="L4" s="244"/>
      <c r="M4" s="244"/>
      <c r="N4"/>
      <c r="O4"/>
      <c r="P4" s="244"/>
    </row>
    <row r="5" spans="1:17" ht="12.75" customHeight="1" x14ac:dyDescent="0.25">
      <c r="A5" s="244"/>
      <c r="B5" s="1147" t="s">
        <v>21</v>
      </c>
      <c r="C5" s="1148"/>
      <c r="D5" s="252" t="s">
        <v>106</v>
      </c>
      <c r="E5" s="252" t="s">
        <v>105</v>
      </c>
      <c r="F5" s="252" t="s">
        <v>106</v>
      </c>
      <c r="G5" s="252" t="s">
        <v>105</v>
      </c>
      <c r="H5" s="253" t="s">
        <v>22</v>
      </c>
      <c r="I5" s="254"/>
      <c r="J5" s="251" t="s">
        <v>23</v>
      </c>
      <c r="K5" s="252" t="s">
        <v>24</v>
      </c>
      <c r="L5" s="255" t="s">
        <v>25</v>
      </c>
      <c r="M5" s="244"/>
      <c r="N5"/>
      <c r="O5"/>
      <c r="P5" s="14"/>
    </row>
    <row r="6" spans="1:17" ht="12.75" customHeight="1" x14ac:dyDescent="0.25">
      <c r="A6" s="244"/>
      <c r="B6" s="1151" t="s">
        <v>194</v>
      </c>
      <c r="C6" s="1152"/>
      <c r="D6" s="774">
        <f>COUNTIF(dimensione_planimetrica_1,"&gt;0")</f>
        <v>0</v>
      </c>
      <c r="E6" s="780">
        <f>dimensione_planimetrica_1_totale</f>
        <v>0</v>
      </c>
      <c r="F6" s="430"/>
      <c r="G6" s="602"/>
      <c r="H6" s="258"/>
      <c r="I6" s="259"/>
      <c r="J6" s="776">
        <f>IF((E6+G6)&gt;0,(E6+G6)/(E11+G11),0)</f>
        <v>0</v>
      </c>
      <c r="K6" s="773" t="str">
        <f>"0"</f>
        <v>0</v>
      </c>
      <c r="L6" s="778">
        <f>J6*K6</f>
        <v>0</v>
      </c>
      <c r="M6" s="244"/>
      <c r="N6"/>
      <c r="O6"/>
      <c r="P6" s="15"/>
    </row>
    <row r="7" spans="1:17" s="210" customFormat="1" ht="12.75" customHeight="1" x14ac:dyDescent="0.2">
      <c r="A7" s="244"/>
      <c r="B7" s="1151" t="s">
        <v>195</v>
      </c>
      <c r="C7" s="1152"/>
      <c r="D7" s="774">
        <f>COUNTIF(dimensione_planimetrica_2,"&gt;0")</f>
        <v>0</v>
      </c>
      <c r="E7" s="780">
        <f>dimensione_planimetrica_2_totale</f>
        <v>0</v>
      </c>
      <c r="F7" s="430"/>
      <c r="G7" s="602"/>
      <c r="H7" s="258"/>
      <c r="I7" s="259"/>
      <c r="J7" s="776">
        <f>IF((E7+G7)&gt;0,(E7+G7)/(E11+G11),0)</f>
        <v>0</v>
      </c>
      <c r="K7" s="261">
        <v>5</v>
      </c>
      <c r="L7" s="778">
        <f>J7*K7</f>
        <v>0</v>
      </c>
      <c r="M7" s="244"/>
      <c r="N7"/>
      <c r="O7"/>
      <c r="P7" s="191"/>
    </row>
    <row r="8" spans="1:17" s="210" customFormat="1" ht="12.75" customHeight="1" x14ac:dyDescent="0.2">
      <c r="A8" s="244"/>
      <c r="B8" s="1151" t="s">
        <v>27</v>
      </c>
      <c r="C8" s="1152"/>
      <c r="D8" s="774">
        <f>COUNTIF(dimensione_planimetrica_3,"&gt;0")</f>
        <v>0</v>
      </c>
      <c r="E8" s="780">
        <f>dimensione_planimetrica_3_totale</f>
        <v>0</v>
      </c>
      <c r="F8" s="430"/>
      <c r="G8" s="602"/>
      <c r="H8" s="258"/>
      <c r="I8" s="259"/>
      <c r="J8" s="776">
        <f>IF((E8+G8)&gt;0,(E8+G8)/(E11+G11),0)</f>
        <v>0</v>
      </c>
      <c r="K8" s="261">
        <v>15</v>
      </c>
      <c r="L8" s="778">
        <f>J8*K8</f>
        <v>0</v>
      </c>
      <c r="M8" s="244"/>
      <c r="N8"/>
      <c r="O8"/>
      <c r="P8" s="1119" t="s">
        <v>242</v>
      </c>
    </row>
    <row r="9" spans="1:17" s="210" customFormat="1" ht="12.75" customHeight="1" x14ac:dyDescent="0.2">
      <c r="A9" s="244"/>
      <c r="B9" s="1151" t="s">
        <v>28</v>
      </c>
      <c r="C9" s="1152"/>
      <c r="D9" s="774">
        <f>COUNTIF(dimensione_planimetrica_4,"&gt;0")</f>
        <v>0</v>
      </c>
      <c r="E9" s="780">
        <f>dimensione_planimetrica_4_totale</f>
        <v>0</v>
      </c>
      <c r="F9" s="430"/>
      <c r="G9" s="602"/>
      <c r="H9" s="258"/>
      <c r="I9" s="259"/>
      <c r="J9" s="776">
        <f>IF((E9+G9)&gt;0,(E9+G9)/(E11+G11),0)</f>
        <v>0</v>
      </c>
      <c r="K9" s="261">
        <v>30</v>
      </c>
      <c r="L9" s="778">
        <f>J9*K9</f>
        <v>0</v>
      </c>
      <c r="M9" s="244"/>
      <c r="N9"/>
      <c r="O9"/>
      <c r="P9" s="1119"/>
    </row>
    <row r="10" spans="1:17" s="210" customFormat="1" ht="12.75" customHeight="1" thickBot="1" x14ac:dyDescent="0.25">
      <c r="A10" s="244"/>
      <c r="B10" s="1167" t="s">
        <v>29</v>
      </c>
      <c r="C10" s="1157"/>
      <c r="D10" s="775">
        <f>COUNTIF(dimensione_planimetrica_5,"&gt;0")</f>
        <v>0</v>
      </c>
      <c r="E10" s="781">
        <f>dimensione_planimetrica_5_totale</f>
        <v>0</v>
      </c>
      <c r="F10" s="431"/>
      <c r="G10" s="602"/>
      <c r="H10" s="265"/>
      <c r="I10" s="266"/>
      <c r="J10" s="777">
        <f>IF((E10+G10)&gt;0,(E10+G10)/(E11+G11),0)</f>
        <v>0</v>
      </c>
      <c r="K10" s="267">
        <v>50</v>
      </c>
      <c r="L10" s="779">
        <f>J10*K10</f>
        <v>0</v>
      </c>
      <c r="M10" s="244"/>
      <c r="N10"/>
      <c r="O10"/>
      <c r="P10" s="16"/>
    </row>
    <row r="11" spans="1:17" s="210" customFormat="1" ht="12.75" customHeight="1" thickBot="1" x14ac:dyDescent="0.25">
      <c r="A11" s="244"/>
      <c r="B11" s="244"/>
      <c r="C11" s="244"/>
      <c r="D11" s="268" t="s">
        <v>30</v>
      </c>
      <c r="E11" s="766">
        <f>SUM(E6:E10)</f>
        <v>0</v>
      </c>
      <c r="F11" s="268" t="s">
        <v>30</v>
      </c>
      <c r="G11" s="766">
        <f>SUM(G6:G10)</f>
        <v>0</v>
      </c>
      <c r="H11" s="269"/>
      <c r="I11" s="270"/>
      <c r="J11" s="244" t="s">
        <v>31</v>
      </c>
      <c r="K11" s="244"/>
      <c r="L11" s="271" t="s">
        <v>32</v>
      </c>
      <c r="M11" s="782" t="str">
        <f>IF(SUM(L6:L10)&gt;0,SUM(L6:L10),"0")</f>
        <v>0</v>
      </c>
      <c r="N11"/>
      <c r="O11" s="243"/>
    </row>
    <row r="12" spans="1:17" s="210" customFormat="1" ht="12.75" customHeight="1" x14ac:dyDescent="0.2">
      <c r="A12" s="244"/>
      <c r="B12" s="244"/>
      <c r="C12" s="244"/>
      <c r="D12" s="244"/>
      <c r="E12" s="244"/>
      <c r="F12" s="244"/>
      <c r="G12" s="272"/>
      <c r="H12" s="273"/>
      <c r="I12" s="273"/>
      <c r="J12" s="244"/>
      <c r="K12" s="244"/>
      <c r="L12" s="244"/>
      <c r="M12" s="244"/>
      <c r="N12"/>
      <c r="O12" s="243"/>
      <c r="Q12" s="626"/>
    </row>
    <row r="13" spans="1:17" s="210" customFormat="1" ht="12.75" customHeight="1" thickBot="1" x14ac:dyDescent="0.25">
      <c r="A13" s="244"/>
      <c r="B13" s="247" t="s">
        <v>137</v>
      </c>
      <c r="C13" s="248"/>
      <c r="D13" s="248"/>
      <c r="E13" s="248"/>
      <c r="F13" s="702" t="s">
        <v>24</v>
      </c>
      <c r="G13" s="702" t="s">
        <v>24</v>
      </c>
      <c r="H13" s="274"/>
      <c r="I13" s="273"/>
      <c r="J13" s="248"/>
      <c r="K13" s="244"/>
      <c r="L13" s="244"/>
      <c r="M13" s="256"/>
      <c r="N13"/>
      <c r="O13" s="243"/>
      <c r="Q13" s="626"/>
    </row>
    <row r="14" spans="1:17" s="210" customFormat="1" ht="12.75" customHeight="1" x14ac:dyDescent="0.2">
      <c r="A14" s="244"/>
      <c r="B14" s="1116" t="s">
        <v>198</v>
      </c>
      <c r="C14" s="1117"/>
      <c r="D14" s="1117"/>
      <c r="E14" s="1117"/>
      <c r="F14" s="277" t="s">
        <v>196</v>
      </c>
      <c r="G14" s="277" t="s">
        <v>196</v>
      </c>
      <c r="H14" s="278"/>
      <c r="I14" s="279"/>
      <c r="J14" s="252" t="s">
        <v>36</v>
      </c>
      <c r="K14" s="252" t="s">
        <v>16</v>
      </c>
      <c r="L14" s="255" t="s">
        <v>25</v>
      </c>
      <c r="M14" s="205"/>
      <c r="N14"/>
      <c r="O14" s="243"/>
      <c r="P14" s="257"/>
      <c r="Q14" s="626"/>
    </row>
    <row r="15" spans="1:17" s="210" customFormat="1" ht="12.75" customHeight="1" x14ac:dyDescent="0.2">
      <c r="A15" s="244"/>
      <c r="B15" s="1160" t="s">
        <v>192</v>
      </c>
      <c r="C15" s="1161"/>
      <c r="D15" s="1161"/>
      <c r="E15" s="1161"/>
      <c r="F15" s="1149">
        <f>dimensione_planimetrica_snr1_totale</f>
        <v>0</v>
      </c>
      <c r="G15" s="1165"/>
      <c r="H15" s="280">
        <v>0</v>
      </c>
      <c r="I15" s="281"/>
      <c r="J15" s="261" t="s">
        <v>107</v>
      </c>
      <c r="K15" s="784" t="str">
        <f>IF($J$20&lt;=50,"X",)</f>
        <v>X</v>
      </c>
      <c r="L15" s="783" t="str">
        <f>"0"</f>
        <v>0</v>
      </c>
      <c r="M15" s="205"/>
      <c r="N15"/>
      <c r="O15" s="243"/>
      <c r="P15" s="257"/>
      <c r="Q15" s="626"/>
    </row>
    <row r="16" spans="1:17" s="210" customFormat="1" ht="12.75" customHeight="1" x14ac:dyDescent="0.2">
      <c r="A16" s="244"/>
      <c r="B16" s="1162"/>
      <c r="C16" s="1163"/>
      <c r="D16" s="1163"/>
      <c r="E16" s="1163"/>
      <c r="F16" s="1150"/>
      <c r="G16" s="1166"/>
      <c r="H16" s="287"/>
      <c r="I16" s="281"/>
      <c r="J16" s="261" t="s">
        <v>38</v>
      </c>
      <c r="K16" s="784">
        <f>IF(AND($J$20&lt;=75,$J$20&gt;50.001),"X",)</f>
        <v>0</v>
      </c>
      <c r="L16" s="640">
        <v>10</v>
      </c>
      <c r="M16" s="205"/>
      <c r="N16"/>
      <c r="O16" s="243"/>
      <c r="P16" s="290"/>
      <c r="Q16" s="626"/>
    </row>
    <row r="17" spans="1:17" s="210" customFormat="1" ht="12.75" customHeight="1" x14ac:dyDescent="0.2">
      <c r="A17" s="244"/>
      <c r="B17" s="1151" t="s">
        <v>40</v>
      </c>
      <c r="C17" s="1155"/>
      <c r="D17" s="1155"/>
      <c r="E17" s="1155"/>
      <c r="F17" s="618"/>
      <c r="G17" s="291">
        <v>0</v>
      </c>
      <c r="H17" s="287">
        <v>0</v>
      </c>
      <c r="I17" s="281"/>
      <c r="J17" s="261" t="s">
        <v>41</v>
      </c>
      <c r="K17" s="784">
        <f>IF(AND($J$20&lt;=100,$J$20&gt;75.1),"X",)</f>
        <v>0</v>
      </c>
      <c r="L17" s="640">
        <v>20</v>
      </c>
      <c r="M17" s="205"/>
      <c r="N17"/>
      <c r="O17" s="243"/>
      <c r="P17" s="295"/>
      <c r="Q17" s="626"/>
    </row>
    <row r="18" spans="1:17" s="210" customFormat="1" ht="12.75" customHeight="1" thickBot="1" x14ac:dyDescent="0.25">
      <c r="A18" s="244"/>
      <c r="B18" s="1151" t="s">
        <v>43</v>
      </c>
      <c r="C18" s="1155"/>
      <c r="D18" s="1155"/>
      <c r="E18" s="1155"/>
      <c r="F18" s="786">
        <f>dimensione_planimetrica_snr2_totale</f>
        <v>0</v>
      </c>
      <c r="G18" s="603"/>
      <c r="H18" s="287">
        <v>0</v>
      </c>
      <c r="I18" s="281"/>
      <c r="J18" s="267" t="s">
        <v>44</v>
      </c>
      <c r="K18" s="785">
        <f>IF($J$20&gt;100.001,"X",)</f>
        <v>0</v>
      </c>
      <c r="L18" s="641">
        <v>30</v>
      </c>
      <c r="M18" s="201"/>
      <c r="N18"/>
      <c r="O18" s="243"/>
      <c r="P18" s="295"/>
      <c r="Q18" s="626"/>
    </row>
    <row r="19" spans="1:17" s="210" customFormat="1" ht="12.75" customHeight="1" thickBot="1" x14ac:dyDescent="0.25">
      <c r="A19" s="244"/>
      <c r="B19" s="1167" t="s">
        <v>46</v>
      </c>
      <c r="C19" s="1156"/>
      <c r="D19" s="1156"/>
      <c r="E19" s="1156"/>
      <c r="F19" s="787">
        <f>dimensione_planimetrica_snr3_totale</f>
        <v>0</v>
      </c>
      <c r="G19" s="604"/>
      <c r="H19" s="298">
        <v>0</v>
      </c>
      <c r="I19" s="299"/>
      <c r="J19" s="201"/>
      <c r="K19" s="201"/>
      <c r="L19" s="300" t="s">
        <v>48</v>
      </c>
      <c r="M19" s="320" t="str">
        <f>VLOOKUP("X",$K$15:$L$18,2,FALSE)</f>
        <v>0</v>
      </c>
      <c r="N19"/>
      <c r="O19" s="243"/>
      <c r="P19" s="290"/>
      <c r="Q19" s="626"/>
    </row>
    <row r="20" spans="1:17" s="210" customFormat="1" ht="12.75" customHeight="1" thickBot="1" x14ac:dyDescent="0.25">
      <c r="A20" s="244"/>
      <c r="B20" s="201"/>
      <c r="C20" s="201"/>
      <c r="D20" s="201"/>
      <c r="E20" s="301" t="s">
        <v>50</v>
      </c>
      <c r="F20" s="766">
        <f>SUM(F15,F18,F19)</f>
        <v>0</v>
      </c>
      <c r="G20" s="766">
        <f>SUM(G15:G19)</f>
        <v>0</v>
      </c>
      <c r="H20" s="788">
        <f>SUM(H15:H19)</f>
        <v>0</v>
      </c>
      <c r="I20" s="302"/>
      <c r="J20" s="789">
        <f>IF(ISERROR((F20+G20)/(E11+G11)*100),,((F20+G20)/(E11+G11)*100))</f>
        <v>0</v>
      </c>
      <c r="K20" s="201" t="s">
        <v>18</v>
      </c>
      <c r="L20" s="201"/>
      <c r="M20" s="201"/>
      <c r="N20"/>
      <c r="O20" s="243"/>
      <c r="P20" s="264"/>
      <c r="Q20" s="626"/>
    </row>
    <row r="21" spans="1:17" s="203" customFormat="1" ht="12.75" customHeight="1" x14ac:dyDescent="0.2">
      <c r="A21" s="244"/>
      <c r="B21" s="244"/>
      <c r="C21" s="244"/>
      <c r="D21" s="244"/>
      <c r="E21" s="244"/>
      <c r="F21" s="244"/>
      <c r="G21" s="244"/>
      <c r="H21" s="244"/>
      <c r="I21" s="244"/>
      <c r="J21" s="244" t="s">
        <v>47</v>
      </c>
      <c r="K21" s="244"/>
      <c r="L21" s="244"/>
      <c r="M21" s="244"/>
      <c r="N21" s="244"/>
      <c r="O21" s="244"/>
      <c r="P21" s="264"/>
    </row>
    <row r="22" spans="1:17" s="203" customFormat="1" ht="12.75" customHeight="1" thickBot="1" x14ac:dyDescent="0.25">
      <c r="A22" s="244"/>
      <c r="C22" s="200"/>
      <c r="D22" s="200"/>
      <c r="E22" s="200"/>
      <c r="F22" s="200"/>
      <c r="G22" s="200"/>
      <c r="H22" s="306"/>
      <c r="I22" s="201"/>
      <c r="J22" s="307"/>
      <c r="K22" s="201"/>
      <c r="L22" s="201"/>
      <c r="M22" s="201"/>
      <c r="N22" s="201"/>
      <c r="O22" s="201"/>
      <c r="P22" s="264"/>
    </row>
    <row r="23" spans="1:17" s="203" customFormat="1" ht="12.75" customHeight="1" thickBot="1" x14ac:dyDescent="0.25">
      <c r="A23" s="244"/>
      <c r="B23" s="308" t="s">
        <v>199</v>
      </c>
      <c r="C23" s="205"/>
      <c r="D23" s="205"/>
      <c r="E23" s="205"/>
      <c r="F23" s="205"/>
      <c r="G23" s="201"/>
      <c r="H23" s="223"/>
      <c r="I23" s="202"/>
      <c r="J23" s="250" t="s">
        <v>54</v>
      </c>
      <c r="K23" s="252" t="s">
        <v>16</v>
      </c>
      <c r="L23" s="255" t="s">
        <v>25</v>
      </c>
      <c r="M23" s="639">
        <f>COUNTIF(DetClasse_SelCaratt,"x")</f>
        <v>0</v>
      </c>
      <c r="N23" s="307"/>
      <c r="O23" s="637"/>
    </row>
    <row r="24" spans="1:17" s="203" customFormat="1" ht="12.75" customHeight="1" thickBot="1" x14ac:dyDescent="0.25">
      <c r="A24" s="244"/>
      <c r="B24" s="638" t="s">
        <v>57</v>
      </c>
      <c r="C24" s="1158" t="s">
        <v>340</v>
      </c>
      <c r="D24" s="1159"/>
      <c r="E24" s="1159"/>
      <c r="F24" s="1159"/>
      <c r="G24" s="1159"/>
      <c r="H24" s="309"/>
      <c r="I24" s="310"/>
      <c r="J24" s="260" t="s">
        <v>26</v>
      </c>
      <c r="K24" s="790" t="str">
        <f>IF(COUNTIF($B$25:$B$29,"x")=0,"X",)</f>
        <v>X</v>
      </c>
      <c r="L24" s="783" t="str">
        <f>"0"</f>
        <v>0</v>
      </c>
      <c r="M24" s="205"/>
      <c r="N24" s="307"/>
      <c r="O24" s="307"/>
    </row>
    <row r="25" spans="1:17" s="244" customFormat="1" ht="12.75" customHeight="1" x14ac:dyDescent="0.2">
      <c r="B25" s="636" t="s">
        <v>57</v>
      </c>
      <c r="C25" s="1164" t="s">
        <v>58</v>
      </c>
      <c r="D25" s="1164"/>
      <c r="E25" s="1164"/>
      <c r="F25" s="1164"/>
      <c r="G25" s="1164"/>
      <c r="H25" s="312"/>
      <c r="I25" s="201"/>
      <c r="J25" s="261">
        <v>1</v>
      </c>
      <c r="K25" s="790">
        <f>IF(COUNTIF($B$25:$B$29,"x")=1,"X",)</f>
        <v>0</v>
      </c>
      <c r="L25" s="640">
        <v>10</v>
      </c>
      <c r="M25" s="205"/>
      <c r="N25" s="201"/>
      <c r="O25" s="201"/>
    </row>
    <row r="26" spans="1:17" s="244" customFormat="1" ht="12.75" customHeight="1" x14ac:dyDescent="0.2">
      <c r="B26" s="436" t="s">
        <v>57</v>
      </c>
      <c r="C26" s="1155" t="s">
        <v>59</v>
      </c>
      <c r="D26" s="1155"/>
      <c r="E26" s="1155"/>
      <c r="F26" s="1155"/>
      <c r="G26" s="1155"/>
      <c r="H26" s="313"/>
      <c r="I26" s="201"/>
      <c r="J26" s="261">
        <v>2</v>
      </c>
      <c r="K26" s="790">
        <f>IF(COUNTIF($B$25:$B$29,"x")=2,"X",)</f>
        <v>0</v>
      </c>
      <c r="L26" s="640">
        <v>20</v>
      </c>
      <c r="M26" s="205"/>
      <c r="N26" s="201"/>
      <c r="O26" s="201"/>
    </row>
    <row r="27" spans="1:17" s="244" customFormat="1" ht="12.75" customHeight="1" x14ac:dyDescent="0.2">
      <c r="B27" s="436" t="s">
        <v>57</v>
      </c>
      <c r="C27" s="1155" t="s">
        <v>339</v>
      </c>
      <c r="D27" s="1155"/>
      <c r="E27" s="1155"/>
      <c r="F27" s="1155"/>
      <c r="G27" s="1155"/>
      <c r="H27" s="314"/>
      <c r="I27" s="201"/>
      <c r="J27" s="261">
        <v>3</v>
      </c>
      <c r="K27" s="790">
        <f>IF(COUNTIF($B$25:$B$29,"x")=3,"X",)</f>
        <v>0</v>
      </c>
      <c r="L27" s="640">
        <v>30</v>
      </c>
      <c r="M27" s="201"/>
      <c r="N27" s="201"/>
      <c r="O27" s="201"/>
    </row>
    <row r="28" spans="1:17" s="244" customFormat="1" ht="12.75" customHeight="1" x14ac:dyDescent="0.2">
      <c r="B28" s="436" t="s">
        <v>57</v>
      </c>
      <c r="C28" s="1155" t="s">
        <v>272</v>
      </c>
      <c r="D28" s="1155"/>
      <c r="E28" s="1155"/>
      <c r="F28" s="1155"/>
      <c r="G28" s="1155"/>
      <c r="H28" s="313"/>
      <c r="I28" s="201"/>
      <c r="J28" s="261">
        <v>4</v>
      </c>
      <c r="K28" s="790">
        <f>IF(COUNTIF($B$25:$B$29,"x")=4,"X",)</f>
        <v>0</v>
      </c>
      <c r="L28" s="640">
        <v>40</v>
      </c>
      <c r="M28" s="201"/>
      <c r="N28" s="201"/>
      <c r="O28" s="201"/>
    </row>
    <row r="29" spans="1:17" s="244" customFormat="1" ht="12.75" customHeight="1" thickBot="1" x14ac:dyDescent="0.25">
      <c r="B29" s="437" t="s">
        <v>57</v>
      </c>
      <c r="C29" s="1156" t="s">
        <v>61</v>
      </c>
      <c r="D29" s="1156"/>
      <c r="E29" s="1156"/>
      <c r="F29" s="1156"/>
      <c r="G29" s="1157"/>
      <c r="H29" s="315"/>
      <c r="I29" s="201"/>
      <c r="J29" s="267">
        <v>5</v>
      </c>
      <c r="K29" s="791">
        <f>IF(COUNTIF($B$25:$B$29,"x")=5,"X",)</f>
        <v>0</v>
      </c>
      <c r="L29" s="641">
        <v>50</v>
      </c>
      <c r="M29" s="201"/>
      <c r="N29" s="201"/>
      <c r="O29" s="201"/>
    </row>
    <row r="30" spans="1:17" s="244" customFormat="1" ht="12.75" customHeight="1" thickBot="1" x14ac:dyDescent="0.25">
      <c r="B30" s="792">
        <f>COUNTIF(B25:B29,"X")</f>
        <v>0</v>
      </c>
      <c r="C30" s="200"/>
      <c r="D30" s="200"/>
      <c r="E30" s="200"/>
      <c r="F30" s="200"/>
      <c r="G30" s="200"/>
      <c r="H30" s="316"/>
      <c r="I30" s="221"/>
      <c r="J30" s="201"/>
      <c r="K30" s="201"/>
      <c r="L30" s="300" t="s">
        <v>62</v>
      </c>
      <c r="M30" s="793" t="str">
        <f>VLOOKUP("X",K24:L29,2,FALSE)</f>
        <v>0</v>
      </c>
      <c r="N30" s="662"/>
      <c r="O30" s="201"/>
      <c r="P30" s="295"/>
    </row>
    <row r="31" spans="1:17" s="244" customFormat="1" ht="12.75" customHeight="1" thickBot="1" x14ac:dyDescent="0.25">
      <c r="B31" s="200"/>
      <c r="C31" s="200"/>
      <c r="D31" s="200"/>
      <c r="E31" s="200"/>
      <c r="F31" s="200"/>
      <c r="G31" s="200"/>
      <c r="H31" s="318"/>
      <c r="I31" s="221"/>
      <c r="J31" s="201"/>
      <c r="K31" s="201"/>
      <c r="L31" s="201"/>
      <c r="M31" s="227" t="s">
        <v>2</v>
      </c>
      <c r="N31" s="300" t="s">
        <v>64</v>
      </c>
      <c r="O31" s="227"/>
      <c r="P31" s="290"/>
    </row>
    <row r="32" spans="1:17" s="244" customFormat="1" ht="12.75" customHeight="1" thickBot="1" x14ac:dyDescent="0.25">
      <c r="B32" s="200"/>
      <c r="C32" s="200"/>
      <c r="D32" s="200"/>
      <c r="E32" s="200"/>
      <c r="F32" s="200"/>
      <c r="G32" s="200"/>
      <c r="H32" s="319"/>
      <c r="I32" s="221"/>
      <c r="J32" s="201"/>
      <c r="K32" s="1153" t="s">
        <v>65</v>
      </c>
      <c r="L32" s="1154"/>
      <c r="M32" s="320">
        <f>IF(SUM(M11,M19,M30)&gt;0,SUM(M11,M19,M30),0)</f>
        <v>0</v>
      </c>
      <c r="N32" s="588" t="str">
        <f ca="1">IF(ClasseEdificioDefault="No",IF(DetCL_DettContCostoCost_SommaIncrementi=0,"I",IF(ISERROR(MATCH(DetCL_DettContCostoCost_SommaIncrementi,INDIRECT(DetClasse_NomeMatriceMinClassi),1))=TRUE,INDEX(INDIRECT(DetClasse_NomeMatrice),1,1),INDEX(INDIRECT(DetClasse_NomeMatrice),MATCH(DetCL_DettContCostoCost_SommaIncrementi,INDIRECT(DetClasse_NomeMatriceMinClassi),1),1))),"XI")</f>
        <v>I</v>
      </c>
      <c r="O32" s="593">
        <f ca="1">IF(ClasseEdificioDefault="No",IF(ISERROR(MATCH(DetCL_DettContCostoCost_SommaIncrementi,INDIRECT(DetClasse_NomeMatriceMinClassi),1))=TRUE,INDEX(INDIRECT(DetClasse_NomeMatrice),1,4),INDEX(INDIRECT(DetClasse_NomeMatrice),MATCH(DetCL_DettContCostoCost_SommaIncrementi,INDIRECT(DetClasse_NomeMatriceMinClassi),1),4)),50)</f>
        <v>0</v>
      </c>
      <c r="P32" s="290"/>
    </row>
    <row r="33" spans="2:16" s="244" customFormat="1" ht="12.75" customHeight="1" thickBot="1" x14ac:dyDescent="0.25">
      <c r="B33" s="200"/>
      <c r="C33" s="200"/>
      <c r="D33" s="200"/>
      <c r="E33" s="200"/>
      <c r="F33" s="200"/>
      <c r="G33" s="200"/>
      <c r="H33" s="589"/>
      <c r="I33" s="221"/>
      <c r="J33" s="201"/>
      <c r="K33" s="590"/>
      <c r="L33" s="590"/>
      <c r="M33"/>
      <c r="N33"/>
      <c r="O33"/>
      <c r="P33" s="290"/>
    </row>
    <row r="34" spans="2:16" s="210" customFormat="1" ht="12.75" customHeight="1" thickBot="1" x14ac:dyDescent="0.25">
      <c r="B34" s="592"/>
      <c r="C34" s="230"/>
      <c r="D34" s="230"/>
      <c r="E34" s="230"/>
      <c r="F34" s="1144" t="s">
        <v>370</v>
      </c>
      <c r="G34" s="1144"/>
      <c r="H34" s="1144"/>
      <c r="I34" s="1144"/>
      <c r="J34" s="1144"/>
      <c r="K34" s="1144"/>
      <c r="L34" s="1144"/>
      <c r="M34" s="1144"/>
      <c r="N34" s="1145"/>
      <c r="O34" s="232">
        <f>CostoBase_NuovaEdif</f>
        <v>416.43</v>
      </c>
    </row>
    <row r="35" spans="2:16" s="210" customFormat="1" ht="12.75" customHeight="1" thickBot="1" x14ac:dyDescent="0.25">
      <c r="B35" s="592"/>
      <c r="C35" s="230"/>
      <c r="D35" s="230"/>
      <c r="E35" s="1144" t="s">
        <v>371</v>
      </c>
      <c r="F35" s="1144"/>
      <c r="G35" s="1144"/>
      <c r="H35" s="1144"/>
      <c r="I35" s="1144"/>
      <c r="J35" s="1144"/>
      <c r="K35" s="1144"/>
      <c r="L35" s="1144"/>
      <c r="M35" s="1144"/>
      <c r="N35" s="1145"/>
      <c r="O35" s="594">
        <f ca="1">CostoBase_NuovaEdif*(1+DetClasse_Maggiorazione/100)</f>
        <v>416.43</v>
      </c>
      <c r="P35"/>
    </row>
    <row r="36" spans="2:16" s="210" customFormat="1" ht="12.75" customHeight="1" thickBot="1" x14ac:dyDescent="0.25">
      <c r="B36"/>
      <c r="C36"/>
      <c r="D36"/>
      <c r="E36"/>
      <c r="F36"/>
      <c r="G36"/>
      <c r="H36"/>
      <c r="I36"/>
      <c r="J36"/>
      <c r="K36"/>
      <c r="L36"/>
      <c r="M36"/>
      <c r="N36"/>
      <c r="O36"/>
      <c r="P36" s="244"/>
    </row>
    <row r="37" spans="2:16" s="210" customFormat="1" ht="12.75" customHeight="1" thickBot="1" x14ac:dyDescent="0.25">
      <c r="B37" s="591"/>
      <c r="C37" s="230"/>
      <c r="D37" s="230"/>
      <c r="E37" s="230"/>
      <c r="F37" s="1144" t="s">
        <v>304</v>
      </c>
      <c r="G37" s="1144"/>
      <c r="H37" s="1144"/>
      <c r="I37" s="1144"/>
      <c r="J37" s="1144"/>
      <c r="K37" s="1144"/>
      <c r="L37" s="1144"/>
      <c r="M37" s="1144"/>
      <c r="N37" s="1145"/>
      <c r="O37" s="232">
        <f>CostoBase_Ristrutturaz</f>
        <v>416.43</v>
      </c>
    </row>
    <row r="38" spans="2:16" s="210" customFormat="1" ht="12.75" customHeight="1" thickBot="1" x14ac:dyDescent="0.25">
      <c r="B38" s="591"/>
      <c r="C38" s="591"/>
      <c r="D38" s="591"/>
      <c r="E38" s="1144" t="s">
        <v>305</v>
      </c>
      <c r="F38" s="1144"/>
      <c r="G38" s="1144"/>
      <c r="H38" s="1144"/>
      <c r="I38" s="1144"/>
      <c r="J38" s="1144"/>
      <c r="K38" s="1144"/>
      <c r="L38" s="1144"/>
      <c r="M38" s="1144"/>
      <c r="N38" s="1145"/>
      <c r="O38" s="594">
        <f ca="1">CostoBase_Ristrutturaz*(1+DetClasse_Maggiorazione/100)</f>
        <v>416.43</v>
      </c>
      <c r="P38" s="244"/>
    </row>
    <row r="39" spans="2:16" s="210" customFormat="1" ht="12.75" customHeight="1" thickBot="1" x14ac:dyDescent="0.25">
      <c r="B39" s="591"/>
      <c r="C39" s="591"/>
      <c r="D39" s="591"/>
      <c r="E39" s="591"/>
      <c r="F39" s="643"/>
      <c r="G39" s="643"/>
      <c r="H39" s="643"/>
      <c r="I39" s="643"/>
      <c r="J39" s="643"/>
      <c r="K39" s="643"/>
      <c r="L39" s="643"/>
      <c r="M39" s="643"/>
      <c r="N39" s="651"/>
      <c r="O39" s="652"/>
      <c r="P39" s="244"/>
    </row>
    <row r="40" spans="2:16" s="210" customFormat="1" ht="12.75" customHeight="1" thickBot="1" x14ac:dyDescent="0.25">
      <c r="B40" s="591"/>
      <c r="C40" s="591"/>
      <c r="D40" s="591"/>
      <c r="E40" s="1146" t="s">
        <v>352</v>
      </c>
      <c r="F40" s="1146"/>
      <c r="G40" s="1146"/>
      <c r="H40" s="1146"/>
      <c r="I40" s="1146"/>
      <c r="J40" s="1146"/>
      <c r="K40" s="1146"/>
      <c r="L40" s="1146"/>
      <c r="M40" s="1146"/>
      <c r="N40" s="1145"/>
      <c r="O40" s="232">
        <f>CostoBase_CommTerz</f>
        <v>416.43</v>
      </c>
      <c r="P40" s="244"/>
    </row>
    <row r="41" spans="2:16" s="210" customFormat="1" ht="12.75" customHeight="1" thickBot="1" x14ac:dyDescent="0.25">
      <c r="B41" s="591"/>
      <c r="C41" s="591"/>
      <c r="D41" s="1144" t="s">
        <v>353</v>
      </c>
      <c r="E41" s="1144"/>
      <c r="F41" s="1144"/>
      <c r="G41" s="1144"/>
      <c r="H41" s="1144"/>
      <c r="I41" s="1144"/>
      <c r="J41" s="1144"/>
      <c r="K41" s="1144"/>
      <c r="L41" s="1144"/>
      <c r="M41" s="1144"/>
      <c r="N41" s="1145"/>
      <c r="O41" s="594">
        <f ca="1">CostoBase_CommTerz*(1+DetClasse_Maggiorazione/100)</f>
        <v>416.43</v>
      </c>
      <c r="P41" s="244"/>
    </row>
    <row r="42" spans="2:16" s="210" customFormat="1" ht="12.75" customHeight="1" x14ac:dyDescent="0.2">
      <c r="B42" s="591"/>
      <c r="C42" s="591"/>
      <c r="D42" s="591"/>
      <c r="E42" s="591"/>
      <c r="F42" s="643"/>
      <c r="G42" s="643"/>
      <c r="H42" s="643"/>
      <c r="I42" s="643"/>
      <c r="J42" s="643"/>
      <c r="K42" s="643"/>
      <c r="L42" s="643"/>
      <c r="M42" s="643"/>
      <c r="N42" s="651"/>
      <c r="O42" s="652"/>
      <c r="P42" s="244"/>
    </row>
    <row r="43" spans="2:16" ht="12.75" hidden="1" x14ac:dyDescent="0.2">
      <c r="B43" s="203"/>
      <c r="C43" s="203"/>
      <c r="D43" s="203"/>
      <c r="E43" s="203"/>
      <c r="F43" s="203"/>
      <c r="G43" s="203"/>
      <c r="H43" s="203"/>
      <c r="I43" s="203"/>
      <c r="J43" s="203"/>
      <c r="K43" s="203"/>
      <c r="L43" s="203"/>
      <c r="M43" s="203"/>
      <c r="N43" s="203"/>
      <c r="O43" s="203"/>
      <c r="P43" s="203"/>
    </row>
  </sheetData>
  <sheetProtection sheet="1" insertRows="0"/>
  <dataConsolidate/>
  <mergeCells count="28">
    <mergeCell ref="F34:N34"/>
    <mergeCell ref="G15:G16"/>
    <mergeCell ref="B10:C10"/>
    <mergeCell ref="B17:E17"/>
    <mergeCell ref="B18:E18"/>
    <mergeCell ref="B19:E19"/>
    <mergeCell ref="C26:G26"/>
    <mergeCell ref="C27:G27"/>
    <mergeCell ref="C25:G25"/>
    <mergeCell ref="B8:C8"/>
    <mergeCell ref="B9:C9"/>
    <mergeCell ref="P8:P9"/>
    <mergeCell ref="B2:F2"/>
    <mergeCell ref="E35:N35"/>
    <mergeCell ref="E38:N38"/>
    <mergeCell ref="D41:N41"/>
    <mergeCell ref="E40:N40"/>
    <mergeCell ref="B5:C5"/>
    <mergeCell ref="B14:E14"/>
    <mergeCell ref="F15:F16"/>
    <mergeCell ref="B6:C6"/>
    <mergeCell ref="B7:C7"/>
    <mergeCell ref="F37:N37"/>
    <mergeCell ref="K32:L32"/>
    <mergeCell ref="C28:G28"/>
    <mergeCell ref="C29:G29"/>
    <mergeCell ref="C24:G24"/>
    <mergeCell ref="B15:E16"/>
  </mergeCells>
  <conditionalFormatting sqref="D5:E5 D11 F14">
    <cfRule type="expression" dxfId="17" priority="12" stopIfTrue="1">
      <formula>IF(COUNTIF(dimensione_planimetrica_totali,"&gt;0")=0,1,0)</formula>
    </cfRule>
  </conditionalFormatting>
  <conditionalFormatting sqref="D6:E10 E11">
    <cfRule type="expression" dxfId="16" priority="11" stopIfTrue="1">
      <formula>IF(COUNTIF(dimensione_planimetrica_totali,"&gt;0")=0,1,0)</formula>
    </cfRule>
  </conditionalFormatting>
  <conditionalFormatting sqref="F15">
    <cfRule type="expression" dxfId="15" priority="8" stopIfTrue="1">
      <formula>IF(COUNTIF(dimensione_planimetrica_totali,"&gt;0")=0,1,0)</formula>
    </cfRule>
  </conditionalFormatting>
  <conditionalFormatting sqref="F17:F20">
    <cfRule type="expression" dxfId="14" priority="9" stopIfTrue="1">
      <formula>IF(COUNTIF(dimensione_planimetrica_totali,"&gt;0")=0,1,0)</formula>
    </cfRule>
  </conditionalFormatting>
  <conditionalFormatting sqref="F6:F10">
    <cfRule type="expression" dxfId="13" priority="6" stopIfTrue="1">
      <formula>Totale_alloggi_edificio&gt;0</formula>
    </cfRule>
  </conditionalFormatting>
  <conditionalFormatting sqref="F5:G5 G14 F11">
    <cfRule type="expression" dxfId="12" priority="5" stopIfTrue="1">
      <formula>Totale_alloggi_edificio&gt;0</formula>
    </cfRule>
  </conditionalFormatting>
  <conditionalFormatting sqref="G6:G10">
    <cfRule type="expression" dxfId="11" priority="4" stopIfTrue="1">
      <formula>Totale_sua_edificio&gt;0</formula>
    </cfRule>
  </conditionalFormatting>
  <conditionalFormatting sqref="G15:G16 G18:G19">
    <cfRule type="expression" dxfId="10" priority="3" stopIfTrue="1">
      <formula>Totale_snr_edificio&gt;0</formula>
    </cfRule>
  </conditionalFormatting>
  <conditionalFormatting sqref="G2">
    <cfRule type="expression" dxfId="9" priority="2" stopIfTrue="1">
      <formula>Totale_sua_edificio&gt;0</formula>
    </cfRule>
  </conditionalFormatting>
  <conditionalFormatting sqref="F6:G10 G15:G16 G18:G19 B24:B29">
    <cfRule type="expression" dxfId="8" priority="1" stopIfTrue="1">
      <formula>AND($G$2="Sì")</formula>
    </cfRule>
  </conditionalFormatting>
  <dataValidations disablePrompts="1" count="12">
    <dataValidation type="list" allowBlank="1" showInputMessage="1" showErrorMessage="1" errorTitle="Attenzione!" error="&quot;nessuna caratteristica&quot; è selezionabile solo se non hai già selezionato qualsiasi altra caratteristica." sqref="B24" xr:uid="{00000000-0002-0000-0500-000000000000}">
      <formula1>IF($B$30=0,opzioni,"o")</formula1>
    </dataValidation>
    <dataValidation allowBlank="1" showInputMessage="1" errorTitle="ATTENZIONE!" error="Non è possibile riportare un valore libero di S.u.a. quando si è già ottenuto un valore dal calcolo della superficie dell'edificio." sqref="G6:G10" xr:uid="{00000000-0002-0000-0500-000001000000}"/>
    <dataValidation type="custom" allowBlank="1" showInputMessage="1" showErrorMessage="1" errorTitle="ATTENZIONE!" error="Non è possibile riportare un valore libero di alloggi quando si è già ottenuto un valore dal calcolo della superficie dell'edificio." sqref="F6:F10" xr:uid="{00000000-0002-0000-0500-000002000000}">
      <formula1>Totale_alloggi_edificio=0</formula1>
    </dataValidation>
    <dataValidation type="list" allowBlank="1" showInputMessage="1" showErrorMessage="1" errorTitle="Attenzione!" error="La selezione della caratteristica è consentita solo se non hai già selezionato &quot;nessuna caratteristica&quot;" sqref="B25:B29" xr:uid="{00000000-0002-0000-0500-000003000000}">
      <formula1>IF($B$24="o",opzioni,0)</formula1>
    </dataValidation>
    <dataValidation type="list" allowBlank="1" showInputMessage="1" showErrorMessage="1" sqref="G2" xr:uid="{00000000-0002-0000-0500-000004000000}">
      <formula1>"Sì,No"</formula1>
    </dataValidation>
    <dataValidation allowBlank="1" showInputMessage="1" showErrorMessage="1" prompt="Nel caso in cui non si compili il foglio &quot;Calcolo superfici edificio&quot;, inserisci la superificie di pavimento degli alloggi misurata al netto di murature, pilastri, tramezzi, sguinci, vani di porte e finestre, eventuali scale interne, logge e balconi." sqref="G4 M6" xr:uid="{00000000-0002-0000-0500-000005000000}"/>
    <dataValidation allowBlank="1" showInputMessage="1" showErrorMessage="1" prompt="Numero alloggi derivanti dalla compilazione del foglio &quot;Calcolo superfici edificio&quot;" sqref="D4" xr:uid="{00000000-0002-0000-0500-000006000000}"/>
    <dataValidation allowBlank="1" showInputMessage="1" showErrorMessage="1" prompt="S.u.a. derivanti dalla compilazione del foglio &quot;Calcolo superfici edificio&quot;. Riguarda la superificie di pavimento degli alloggi misurata al netto di murature, pilastri, tramezzi, sguinci, vani di porte e finestre, eventuali scale interne, logge e balconi" sqref="E4" xr:uid="{00000000-0002-0000-0500-000007000000}"/>
    <dataValidation allowBlank="1" showInputMessage="1" showErrorMessage="1" prompt="Inserisci il numero complessivo dei rispettivi alloggi solo nel caso in cui non si compili il foglio &quot;Calcolo superfici edificio&quot;" sqref="F4" xr:uid="{00000000-0002-0000-0500-000008000000}"/>
    <dataValidation allowBlank="1" showInputMessage="1" showErrorMessage="1" prompt="Superficie non residenziale in mq. derivante dalla compilazione del foglio &quot;Calcolo superfici edificio&quot;._x000a_Le misurazioni vanno effettuate al netto di murature, pilastri e tramezzi, sguincie vani di porte e finestre" sqref="F13" xr:uid="{00000000-0002-0000-0500-000009000000}"/>
    <dataValidation allowBlank="1" showInputMessage="1" showErrorMessage="1" prompt="Nel caso in cui non si compili il foglio &quot;Calcolo superfici edificio&quot;, inserisci la superficie non residenziale. _x000a_Le misurazioni vanno effettuate al netto di murature, pilastri e tramezzi, sguincie vani di porte e finestre." sqref="G13" xr:uid="{00000000-0002-0000-0500-00000A000000}"/>
    <dataValidation allowBlank="1" showInputMessage="1" errorTitle="ATTENZIONE!" error="Non è possibile riportare un valore libero di S.n.r. quando si è già ottenuto un valore dal calcolo della superficie dell'edificio." sqref="G15:G16 G18 G19" xr:uid="{00000000-0002-0000-0500-00000B000000}"/>
  </dataValidations>
  <hyperlinks>
    <hyperlink ref="P8:P9" location="'Procedura guidata'!A1" display="Torna alla procedura guidata!" xr:uid="{00000000-0004-0000-0500-000000000000}"/>
  </hyperlinks>
  <printOptions horizontalCentered="1"/>
  <pageMargins left="0.25" right="0.25" top="0.75" bottom="0.75" header="0.3" footer="0.3"/>
  <pageSetup paperSize="9" scale="9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A1:AD90"/>
  <sheetViews>
    <sheetView showGridLines="0" workbookViewId="0"/>
  </sheetViews>
  <sheetFormatPr defaultColWidth="0" defaultRowHeight="0" customHeight="1" zeroHeight="1" x14ac:dyDescent="0.2"/>
  <cols>
    <col min="1" max="1" width="5.7109375" style="204" customWidth="1"/>
    <col min="2" max="2" width="21" style="204" customWidth="1"/>
    <col min="3" max="4" width="9.7109375" style="204" customWidth="1"/>
    <col min="5" max="5" width="8.140625" style="203" customWidth="1"/>
    <col min="6" max="6" width="9.7109375" style="203" customWidth="1"/>
    <col min="7" max="7" width="12.7109375" style="204" customWidth="1"/>
    <col min="8" max="8" width="1.42578125" style="204" hidden="1" customWidth="1"/>
    <col min="9" max="9" width="5.42578125" style="204" hidden="1" customWidth="1"/>
    <col min="10" max="10" width="1.7109375" style="204" customWidth="1"/>
    <col min="11" max="13" width="9.7109375" style="204" customWidth="1"/>
    <col min="14" max="14" width="12.7109375" style="204" customWidth="1"/>
    <col min="15" max="15" width="1.5703125" style="204" customWidth="1"/>
    <col min="16" max="18" width="9.7109375" style="204" customWidth="1"/>
    <col min="19" max="19" width="12.7109375" style="204" customWidth="1"/>
    <col min="20" max="20" width="18.7109375" style="204" customWidth="1"/>
    <col min="21" max="21" width="6.7109375" style="204" hidden="1" customWidth="1"/>
    <col min="22" max="22" width="4.42578125" style="204" hidden="1" customWidth="1"/>
    <col min="23" max="23" width="3.7109375" style="204" hidden="1" customWidth="1"/>
    <col min="24" max="24" width="8.42578125" style="204" hidden="1" customWidth="1"/>
    <col min="25" max="25" width="6.7109375" style="204" hidden="1" customWidth="1"/>
    <col min="26" max="26" width="9.42578125" style="204" hidden="1" customWidth="1"/>
    <col min="27" max="27" width="4.7109375" style="204" hidden="1" customWidth="1"/>
    <col min="28" max="28" width="3.5703125" style="204" hidden="1" customWidth="1"/>
    <col min="29" max="29" width="12.42578125" style="204" hidden="1" customWidth="1"/>
    <col min="30" max="30" width="14.28515625" style="204" hidden="1" customWidth="1"/>
    <col min="31" max="16384" width="9.140625" style="204" hidden="1"/>
  </cols>
  <sheetData>
    <row r="1" spans="2:20" ht="12.75" customHeight="1" x14ac:dyDescent="0.2">
      <c r="B1" s="200"/>
      <c r="C1" s="200"/>
      <c r="D1" s="200"/>
      <c r="E1" s="200"/>
      <c r="F1" s="200"/>
      <c r="G1" s="200"/>
      <c r="H1" s="200"/>
      <c r="I1" s="200"/>
      <c r="J1" s="200"/>
      <c r="K1" s="200"/>
      <c r="L1" s="200"/>
      <c r="M1" s="200"/>
      <c r="N1" s="200"/>
      <c r="O1" s="201"/>
      <c r="P1" s="201"/>
      <c r="Q1" s="201"/>
      <c r="R1" s="201"/>
      <c r="S1" s="202"/>
      <c r="T1" s="203"/>
    </row>
    <row r="2" spans="2:20" ht="12.75" customHeight="1" thickBot="1" x14ac:dyDescent="0.25">
      <c r="B2" s="200"/>
      <c r="C2" s="1185" t="s">
        <v>153</v>
      </c>
      <c r="D2" s="1185"/>
      <c r="E2" s="1185"/>
      <c r="F2" s="1185"/>
      <c r="G2" s="1185"/>
      <c r="H2" s="200"/>
      <c r="I2" s="200"/>
      <c r="J2" s="200"/>
      <c r="K2" s="1185" t="s">
        <v>393</v>
      </c>
      <c r="L2" s="1185"/>
      <c r="M2" s="1185"/>
      <c r="N2" s="1185"/>
      <c r="O2" s="205"/>
      <c r="P2" s="832"/>
      <c r="Q2" s="1185" t="s">
        <v>123</v>
      </c>
      <c r="R2" s="1185"/>
      <c r="S2" s="702" t="s">
        <v>24</v>
      </c>
      <c r="T2" s="203"/>
    </row>
    <row r="3" spans="2:20" ht="12.75" customHeight="1" x14ac:dyDescent="0.2">
      <c r="B3" s="206"/>
      <c r="C3" s="674" t="s">
        <v>53</v>
      </c>
      <c r="D3" s="675"/>
      <c r="E3" s="1186" t="s">
        <v>379</v>
      </c>
      <c r="F3" s="1187"/>
      <c r="G3" s="1188"/>
      <c r="H3" s="206"/>
      <c r="I3" s="206"/>
      <c r="J3" s="206"/>
      <c r="K3" s="1170" t="s">
        <v>53</v>
      </c>
      <c r="L3" s="1171"/>
      <c r="M3" s="1171"/>
      <c r="N3" s="1172"/>
      <c r="O3" s="207"/>
      <c r="P3" s="1170" t="s">
        <v>53</v>
      </c>
      <c r="Q3" s="1171"/>
      <c r="R3" s="1171"/>
      <c r="S3" s="1172"/>
      <c r="T3" s="244"/>
    </row>
    <row r="4" spans="2:20" s="210" customFormat="1" ht="12.75" customHeight="1" x14ac:dyDescent="0.25">
      <c r="B4" s="206"/>
      <c r="C4" s="1151" t="s">
        <v>108</v>
      </c>
      <c r="D4" s="1155"/>
      <c r="E4" s="1152"/>
      <c r="F4" s="678">
        <f>IF(E3="copia i dati da scheda Edificio",IF(selezione_nuova_costruzione="x",DetClasseEdificio_SupUtile+DetClasse_SupUtile,0),0)</f>
        <v>0</v>
      </c>
      <c r="G4" s="677">
        <v>0</v>
      </c>
      <c r="H4" s="206"/>
      <c r="I4" s="206"/>
      <c r="J4" s="206"/>
      <c r="K4" s="1151" t="s">
        <v>108</v>
      </c>
      <c r="L4" s="1155"/>
      <c r="M4" s="1152"/>
      <c r="N4" s="438">
        <v>0</v>
      </c>
      <c r="O4" s="209"/>
      <c r="P4" s="1151" t="s">
        <v>369</v>
      </c>
      <c r="Q4" s="1155"/>
      <c r="R4" s="1152"/>
      <c r="S4" s="438">
        <v>0</v>
      </c>
      <c r="T4" s="14"/>
    </row>
    <row r="5" spans="2:20" s="210" customFormat="1" ht="12.75" customHeight="1" x14ac:dyDescent="0.25">
      <c r="B5" s="206"/>
      <c r="C5" s="1151" t="s">
        <v>109</v>
      </c>
      <c r="D5" s="1155"/>
      <c r="E5" s="1152"/>
      <c r="F5" s="678">
        <f>IF(E3="copia i dati da scheda Edificio",IF(selezione_nuova_costruzione="x",DetClasseEdificio_Snr+DetClasse_Snr,0),0)</f>
        <v>0</v>
      </c>
      <c r="G5" s="677">
        <v>0</v>
      </c>
      <c r="H5" s="206"/>
      <c r="I5" s="206"/>
      <c r="J5" s="206"/>
      <c r="K5" s="1151" t="s">
        <v>109</v>
      </c>
      <c r="L5" s="1155"/>
      <c r="M5" s="1152"/>
      <c r="N5" s="438">
        <v>0</v>
      </c>
      <c r="O5" s="209"/>
      <c r="P5" s="1151" t="s">
        <v>109</v>
      </c>
      <c r="Q5" s="1155"/>
      <c r="R5" s="1152"/>
      <c r="S5" s="438">
        <v>0</v>
      </c>
      <c r="T5" s="15"/>
    </row>
    <row r="6" spans="2:20" s="210" customFormat="1" ht="12.75" customHeight="1" x14ac:dyDescent="0.2">
      <c r="B6" s="206"/>
      <c r="C6" s="1151" t="s">
        <v>110</v>
      </c>
      <c r="D6" s="1155"/>
      <c r="E6" s="1155"/>
      <c r="F6" s="664"/>
      <c r="G6" s="324">
        <f>IF(F4+F5&gt;0,60%*F5,60%*G5)</f>
        <v>0</v>
      </c>
      <c r="H6" s="206"/>
      <c r="I6" s="206"/>
      <c r="J6" s="206"/>
      <c r="K6" s="1151" t="s">
        <v>110</v>
      </c>
      <c r="L6" s="1155"/>
      <c r="M6" s="1152"/>
      <c r="N6" s="324">
        <f>60%*N5</f>
        <v>0</v>
      </c>
      <c r="O6" s="211"/>
      <c r="P6" s="1151" t="s">
        <v>110</v>
      </c>
      <c r="Q6" s="1155"/>
      <c r="R6" s="1152"/>
      <c r="S6" s="324">
        <f>60%*S5</f>
        <v>0</v>
      </c>
      <c r="T6" s="191"/>
    </row>
    <row r="7" spans="2:20" s="210" customFormat="1" ht="12.75" customHeight="1" thickBot="1" x14ac:dyDescent="0.25">
      <c r="B7" s="206"/>
      <c r="C7" s="1167" t="s">
        <v>193</v>
      </c>
      <c r="D7" s="1156"/>
      <c r="E7" s="1156"/>
      <c r="F7" s="663"/>
      <c r="G7" s="658">
        <f>IF(F4&gt;0,F4+G6,G4+G6)</f>
        <v>0</v>
      </c>
      <c r="H7" s="206"/>
      <c r="I7" s="206"/>
      <c r="J7" s="206"/>
      <c r="K7" s="1151" t="s">
        <v>193</v>
      </c>
      <c r="L7" s="1155"/>
      <c r="M7" s="1152"/>
      <c r="N7" s="324">
        <f>SUM(N4,N6)</f>
        <v>0</v>
      </c>
      <c r="O7" s="209"/>
      <c r="P7" s="1189" t="s">
        <v>193</v>
      </c>
      <c r="Q7" s="1190"/>
      <c r="R7" s="1191"/>
      <c r="S7" s="490">
        <f>SUM(S4,S6)</f>
        <v>0</v>
      </c>
      <c r="T7" s="964" t="s">
        <v>242</v>
      </c>
    </row>
    <row r="8" spans="2:20" s="210" customFormat="1" ht="12.75" customHeight="1" thickBot="1" x14ac:dyDescent="0.25">
      <c r="B8" s="206"/>
      <c r="C8"/>
      <c r="D8"/>
      <c r="E8"/>
      <c r="F8"/>
      <c r="G8"/>
      <c r="H8" s="206"/>
      <c r="I8" s="206"/>
      <c r="J8" s="206"/>
      <c r="K8" s="1167" t="s">
        <v>124</v>
      </c>
      <c r="L8" s="1156"/>
      <c r="M8" s="1157"/>
      <c r="N8" s="441">
        <v>0</v>
      </c>
      <c r="O8" s="209"/>
      <c r="P8" s="1167" t="s">
        <v>124</v>
      </c>
      <c r="Q8" s="1156"/>
      <c r="R8" s="1157"/>
      <c r="S8" s="441">
        <v>0</v>
      </c>
      <c r="T8" s="1119"/>
    </row>
    <row r="9" spans="2:20" s="210" customFormat="1" ht="12.75" customHeight="1" thickBot="1" x14ac:dyDescent="0.25">
      <c r="B9" s="206"/>
      <c r="C9" s="201"/>
      <c r="D9" s="201"/>
      <c r="E9" s="201"/>
      <c r="F9" s="201"/>
      <c r="G9" s="213"/>
      <c r="H9" s="206"/>
      <c r="I9" s="206"/>
      <c r="J9" s="206"/>
      <c r="K9" s="201"/>
      <c r="L9" s="201"/>
      <c r="M9" s="201"/>
      <c r="N9" s="214"/>
      <c r="O9" s="206"/>
      <c r="P9" s="206"/>
      <c r="Q9" s="206"/>
      <c r="R9" s="206"/>
      <c r="S9" s="206"/>
    </row>
    <row r="10" spans="2:20" s="210" customFormat="1" ht="12.75" customHeight="1" x14ac:dyDescent="0.2">
      <c r="B10" s="201"/>
      <c r="C10" s="1170" t="s">
        <v>63</v>
      </c>
      <c r="D10" s="1171"/>
      <c r="E10" s="1171"/>
      <c r="F10" s="1171"/>
      <c r="G10" s="1172"/>
      <c r="H10" s="215"/>
      <c r="I10" s="216"/>
      <c r="J10" s="206"/>
      <c r="K10" s="1170" t="s">
        <v>63</v>
      </c>
      <c r="L10" s="1171"/>
      <c r="M10" s="1171"/>
      <c r="N10" s="1172"/>
      <c r="O10" s="206"/>
      <c r="P10" s="792" t="b">
        <f>IF(AND(selezione_passo_descrizione_intervento="x",selezione_nuova_costruzione="o"),FALSE,TRUE)</f>
        <v>1</v>
      </c>
      <c r="Q10" s="206"/>
      <c r="R10" s="206"/>
      <c r="S10" s="206"/>
    </row>
    <row r="11" spans="2:20" s="210" customFormat="1" ht="12.75" customHeight="1" x14ac:dyDescent="0.2">
      <c r="B11" s="201"/>
      <c r="C11" s="1151" t="s">
        <v>112</v>
      </c>
      <c r="D11" s="1155"/>
      <c r="E11" s="1155"/>
      <c r="F11" s="664"/>
      <c r="G11" s="438">
        <v>0</v>
      </c>
      <c r="H11" s="215"/>
      <c r="I11" s="216"/>
      <c r="J11" s="206"/>
      <c r="K11" s="1151" t="s">
        <v>112</v>
      </c>
      <c r="L11" s="1155"/>
      <c r="M11" s="1152"/>
      <c r="N11" s="438">
        <v>0</v>
      </c>
      <c r="O11" s="206"/>
      <c r="P11" s="792" t="b">
        <f>IF(AND(selezione_passo_descrizione_intervento="x",selezione_ampliamento="o",selezione_ristrutturazione="o"),FALSE,TRUE)</f>
        <v>1</v>
      </c>
      <c r="Q11" s="206"/>
      <c r="R11" s="206"/>
      <c r="S11" s="206"/>
    </row>
    <row r="12" spans="2:20" s="210" customFormat="1" ht="12.75" customHeight="1" x14ac:dyDescent="0.2">
      <c r="B12" s="201"/>
      <c r="C12" s="1151" t="s">
        <v>113</v>
      </c>
      <c r="D12" s="1155"/>
      <c r="E12" s="1155"/>
      <c r="F12" s="664"/>
      <c r="G12" s="438">
        <v>0</v>
      </c>
      <c r="H12" s="794">
        <f>H11*0.6</f>
        <v>0</v>
      </c>
      <c r="I12" s="216"/>
      <c r="J12" s="206"/>
      <c r="K12" s="1151" t="s">
        <v>113</v>
      </c>
      <c r="L12" s="1155"/>
      <c r="M12" s="1152"/>
      <c r="N12" s="438">
        <v>0</v>
      </c>
      <c r="O12" s="206"/>
      <c r="P12" s="792" t="b">
        <f>IF(AND(selezione_passo_descrizione_intervento="x",selezione_sottotetti="o"),FALSE,TRUE)</f>
        <v>1</v>
      </c>
      <c r="Q12" s="206"/>
      <c r="R12" s="206"/>
      <c r="S12" s="206"/>
    </row>
    <row r="13" spans="2:20" s="210" customFormat="1" ht="12.75" customHeight="1" thickBot="1" x14ac:dyDescent="0.25">
      <c r="B13" s="201"/>
      <c r="C13" s="1151" t="s">
        <v>114</v>
      </c>
      <c r="D13" s="1155"/>
      <c r="E13" s="1155"/>
      <c r="F13" s="664"/>
      <c r="G13" s="324">
        <f>G12*0.6</f>
        <v>0</v>
      </c>
      <c r="H13" s="217">
        <v>0</v>
      </c>
      <c r="I13" s="216"/>
      <c r="J13" s="206"/>
      <c r="K13" s="1151" t="s">
        <v>114</v>
      </c>
      <c r="L13" s="1155"/>
      <c r="M13" s="1152"/>
      <c r="N13" s="324">
        <f>N12*0.6</f>
        <v>0</v>
      </c>
      <c r="O13" s="206"/>
      <c r="P13" s="587"/>
      <c r="Q13" s="206"/>
      <c r="R13" s="206"/>
      <c r="S13" s="206"/>
    </row>
    <row r="14" spans="2:20" s="210" customFormat="1" ht="12.75" customHeight="1" thickBot="1" x14ac:dyDescent="0.25">
      <c r="B14" s="201"/>
      <c r="C14" s="1151" t="s">
        <v>115</v>
      </c>
      <c r="D14" s="1155"/>
      <c r="E14" s="1155"/>
      <c r="F14" s="684"/>
      <c r="G14" s="324">
        <f>G11+G13</f>
        <v>0</v>
      </c>
      <c r="H14" s="788">
        <f>H10+H12</f>
        <v>0</v>
      </c>
      <c r="I14" s="216"/>
      <c r="J14" s="201"/>
      <c r="K14" s="1151" t="s">
        <v>115</v>
      </c>
      <c r="L14" s="1155"/>
      <c r="M14" s="1152"/>
      <c r="N14" s="324">
        <f>N11+N13</f>
        <v>0</v>
      </c>
      <c r="O14" s="206"/>
      <c r="P14" s="206"/>
      <c r="Q14" s="206"/>
      <c r="R14" s="206"/>
      <c r="S14" s="206"/>
    </row>
    <row r="15" spans="2:20" s="210" customFormat="1" ht="12.75" customHeight="1" thickBot="1" x14ac:dyDescent="0.25">
      <c r="B15" s="201"/>
      <c r="C15" s="1167" t="s">
        <v>124</v>
      </c>
      <c r="D15" s="1156"/>
      <c r="E15" s="1156"/>
      <c r="F15" s="705" t="s">
        <v>24</v>
      </c>
      <c r="G15" s="439">
        <v>0</v>
      </c>
      <c r="H15" s="218"/>
      <c r="I15" s="216"/>
      <c r="J15" s="201"/>
      <c r="K15" s="1167" t="s">
        <v>124</v>
      </c>
      <c r="L15" s="1156"/>
      <c r="M15" s="1157"/>
      <c r="N15" s="441">
        <v>0</v>
      </c>
      <c r="O15" s="206"/>
      <c r="P15" s="206"/>
      <c r="Q15" s="206"/>
      <c r="R15" s="206"/>
      <c r="S15" s="206"/>
    </row>
    <row r="16" spans="2:20" s="210" customFormat="1" ht="12.75" customHeight="1" thickBot="1" x14ac:dyDescent="0.25">
      <c r="B16" s="201"/>
      <c r="C16" s="201"/>
      <c r="D16" s="201"/>
      <c r="E16" s="201"/>
      <c r="F16" s="201"/>
      <c r="G16" s="330"/>
      <c r="H16" s="219"/>
      <c r="I16" s="216"/>
      <c r="J16" s="220"/>
      <c r="K16" s="220"/>
      <c r="L16" s="221"/>
      <c r="M16" s="201"/>
      <c r="N16" s="329"/>
      <c r="O16" s="206"/>
      <c r="P16" s="206"/>
      <c r="Q16" s="206"/>
      <c r="R16" s="206"/>
      <c r="S16" s="222"/>
    </row>
    <row r="17" spans="2:19" s="210" customFormat="1" ht="12.75" customHeight="1" thickBot="1" x14ac:dyDescent="0.25">
      <c r="B17" s="653" t="s">
        <v>372</v>
      </c>
      <c r="C17" s="1153" t="s">
        <v>359</v>
      </c>
      <c r="D17" s="1173"/>
      <c r="E17" s="1173"/>
      <c r="F17" s="670"/>
      <c r="G17" s="326">
        <f>CostoCost_NuovaCostResid_SupCompl</f>
        <v>0</v>
      </c>
      <c r="H17" s="223" t="s">
        <v>67</v>
      </c>
      <c r="I17" s="223"/>
      <c r="J17" s="223"/>
      <c r="K17" s="1153" t="s">
        <v>359</v>
      </c>
      <c r="L17" s="1173"/>
      <c r="M17" s="1174"/>
      <c r="N17" s="326">
        <f>CostoCost_RistResid_SupCompl</f>
        <v>0</v>
      </c>
      <c r="O17" s="201"/>
      <c r="P17" s="1153" t="s">
        <v>359</v>
      </c>
      <c r="Q17" s="1173"/>
      <c r="R17" s="1174"/>
      <c r="S17" s="326">
        <f>CostoCost_SottotResid_SupCompl</f>
        <v>0</v>
      </c>
    </row>
    <row r="18" spans="2:19" s="210" customFormat="1" ht="12.75" customHeight="1" thickBot="1" x14ac:dyDescent="0.25">
      <c r="B18" s="653" t="s">
        <v>346</v>
      </c>
      <c r="C18" s="1153" t="s">
        <v>360</v>
      </c>
      <c r="D18" s="1173"/>
      <c r="E18" s="1173"/>
      <c r="F18" s="704" t="s">
        <v>24</v>
      </c>
      <c r="G18" s="326">
        <f>IF((DetClasseEdificio_SupUtile+DetClasse_SupUtile)&gt;0,IF(CostoCost_NuovaCostComm_SupCompl&lt;((DetClasseEdificio_SupUtile+DetClasse_SupUtile)*0.26),CostoCost_NuovaCostComm_SupCompl,0),0)</f>
        <v>0</v>
      </c>
      <c r="H18" s="223"/>
      <c r="I18" s="223"/>
      <c r="J18" s="223"/>
      <c r="K18" s="1153" t="s">
        <v>387</v>
      </c>
      <c r="L18" s="1173"/>
      <c r="M18" s="704" t="s">
        <v>24</v>
      </c>
      <c r="N18" s="326">
        <f>IF(DetClasseEdificio_SupUtile+DetClasse_SupUtile&gt;0,IF(CostoCost_RistComm_SupCompl&lt;(DetClasseEdificio_SupUtile+DetClasse_SupUtile*0.26),CostoCost_RistComm_SupCompl,0),0)</f>
        <v>0</v>
      </c>
      <c r="O18" s="201"/>
      <c r="P18" s="590"/>
      <c r="Q18" s="590"/>
      <c r="R18" s="590"/>
      <c r="S18" s="654"/>
    </row>
    <row r="19" spans="2:19" s="210" customFormat="1" ht="12.75" customHeight="1" x14ac:dyDescent="0.2">
      <c r="B19" s="201"/>
      <c r="C19" s="201"/>
      <c r="D19" s="201"/>
      <c r="E19" s="201"/>
      <c r="F19" s="201"/>
      <c r="H19" s="219"/>
      <c r="I19" s="216"/>
      <c r="J19" s="220"/>
      <c r="K19" s="220"/>
      <c r="L19" s="221"/>
      <c r="M19" s="201"/>
      <c r="N19" s="703"/>
      <c r="O19" s="201"/>
      <c r="P19" s="224"/>
      <c r="Q19" s="225"/>
      <c r="R19" s="201"/>
      <c r="S19" s="201"/>
    </row>
    <row r="20" spans="2:19" s="210" customFormat="1" ht="12.75" customHeight="1" thickBot="1" x14ac:dyDescent="0.25">
      <c r="B20" s="1168"/>
      <c r="C20" s="1168"/>
      <c r="D20" s="1168"/>
      <c r="E20" s="1168"/>
      <c r="F20" s="667"/>
      <c r="G20" s="226"/>
      <c r="H20" s="206"/>
      <c r="I20" s="206"/>
      <c r="J20" s="200"/>
      <c r="K20" s="200"/>
      <c r="L20" s="200"/>
      <c r="M20" s="200"/>
      <c r="N20" s="227"/>
      <c r="O20" s="228"/>
      <c r="P20" s="229"/>
      <c r="Q20" s="229"/>
      <c r="R20" s="229"/>
      <c r="S20" s="227"/>
    </row>
    <row r="21" spans="2:19" s="210" customFormat="1" ht="12.75" customHeight="1" thickBot="1" x14ac:dyDescent="0.25">
      <c r="B21" s="1169" t="s">
        <v>347</v>
      </c>
      <c r="C21" s="1169"/>
      <c r="D21" s="1169"/>
      <c r="E21" s="1175"/>
      <c r="F21" s="666"/>
      <c r="G21" s="232">
        <f>CostoBase_NuovaEdif</f>
        <v>416.43</v>
      </c>
      <c r="H21" s="206"/>
      <c r="I21" s="206"/>
      <c r="J21" s="200"/>
      <c r="K21" s="200"/>
      <c r="L21" s="200"/>
      <c r="M21" s="231"/>
      <c r="N21" s="232">
        <f>CostoBase_Ristrutturaz</f>
        <v>416.43</v>
      </c>
      <c r="O21" s="206"/>
      <c r="P21" s="200"/>
      <c r="Q21" s="200"/>
      <c r="R21" s="231"/>
      <c r="S21" s="232">
        <f>CostoBase_Ristrutturaz</f>
        <v>416.43</v>
      </c>
    </row>
    <row r="22" spans="2:19" s="210" customFormat="1" ht="12.75" customHeight="1" thickBot="1" x14ac:dyDescent="0.25">
      <c r="B22" s="1169" t="s">
        <v>348</v>
      </c>
      <c r="C22" s="1169"/>
      <c r="D22" s="1169"/>
      <c r="E22" s="1175"/>
      <c r="F22" s="666"/>
      <c r="G22" s="232">
        <f ca="1">DetClasse_CostoMaggioratoNuovaEdif</f>
        <v>416.43</v>
      </c>
      <c r="H22" s="206"/>
      <c r="I22" s="206"/>
      <c r="J22" s="200"/>
      <c r="K22" s="200"/>
      <c r="L22" s="200"/>
      <c r="M22" s="231"/>
      <c r="N22" s="232">
        <f ca="1">DetClasse_CostoMaggioratoRistr</f>
        <v>416.43</v>
      </c>
      <c r="O22" s="206"/>
      <c r="P22" s="200"/>
      <c r="Q22" s="200"/>
      <c r="R22" s="231"/>
      <c r="S22" s="232">
        <f ca="1">DetClasse_CostoMaggioratoRistr</f>
        <v>416.43</v>
      </c>
    </row>
    <row r="23" spans="2:19" s="210" customFormat="1" ht="12.75" customHeight="1" thickBot="1" x14ac:dyDescent="0.25">
      <c r="B23" s="1169" t="s">
        <v>349</v>
      </c>
      <c r="C23" s="1169"/>
      <c r="D23" s="1169"/>
      <c r="E23" s="1175"/>
      <c r="F23" s="666"/>
      <c r="G23" s="232">
        <f ca="1">CostoCost_NuovaCost_SupCompl_Res*G22</f>
        <v>0</v>
      </c>
      <c r="H23" s="233"/>
      <c r="I23" s="216"/>
      <c r="J23" s="220"/>
      <c r="K23" s="220"/>
      <c r="L23" s="200"/>
      <c r="M23" s="231"/>
      <c r="N23" s="232">
        <f ca="1">CostoCost_Rist_SupCompl_Res*N22</f>
        <v>0</v>
      </c>
      <c r="O23" s="206"/>
      <c r="P23" s="200"/>
      <c r="Q23" s="200"/>
      <c r="R23" s="231"/>
      <c r="S23" s="232">
        <f ca="1">CostoCost_Sot_SupCompl*S22</f>
        <v>0</v>
      </c>
    </row>
    <row r="24" spans="2:19" s="210" customFormat="1" ht="12.75" customHeight="1" thickBot="1" x14ac:dyDescent="0.25">
      <c r="B24" s="644"/>
      <c r="C24" s="644"/>
      <c r="D24" s="644"/>
      <c r="E24" s="645"/>
      <c r="F24" s="668"/>
      <c r="G24" s="648"/>
      <c r="H24" s="358"/>
      <c r="I24" s="216"/>
      <c r="J24" s="220"/>
      <c r="K24" s="220"/>
      <c r="L24" s="649"/>
      <c r="M24" s="231"/>
      <c r="N24" s="648"/>
      <c r="O24" s="650"/>
      <c r="P24" s="649"/>
      <c r="Q24" s="649"/>
      <c r="R24" s="231"/>
      <c r="S24" s="648"/>
    </row>
    <row r="25" spans="2:19" s="210" customFormat="1" ht="12.75" customHeight="1" thickBot="1" x14ac:dyDescent="0.25">
      <c r="B25" s="1169" t="s">
        <v>350</v>
      </c>
      <c r="C25" s="1169"/>
      <c r="D25" s="1169"/>
      <c r="E25" s="1175"/>
      <c r="F25" s="666"/>
      <c r="G25" s="232">
        <f>CostoBase_CommTerz</f>
        <v>416.43</v>
      </c>
      <c r="H25" s="233"/>
      <c r="I25" s="216"/>
      <c r="J25" s="220"/>
      <c r="K25" s="220"/>
      <c r="L25" s="200"/>
      <c r="M25" s="231"/>
      <c r="N25" s="232">
        <f>CostoBase_CommTerz</f>
        <v>416.43</v>
      </c>
      <c r="O25" s="206"/>
      <c r="P25" s="200"/>
      <c r="Q25" s="200"/>
      <c r="R25" s="231"/>
      <c r="S25"/>
    </row>
    <row r="26" spans="2:19" s="210" customFormat="1" ht="12.75" customHeight="1" thickBot="1" x14ac:dyDescent="0.25">
      <c r="B26" s="1169" t="s">
        <v>358</v>
      </c>
      <c r="C26" s="1169"/>
      <c r="D26" s="1169"/>
      <c r="E26" s="1175"/>
      <c r="F26" s="666"/>
      <c r="G26" s="232">
        <f ca="1">DetClasse_CostoMaggioratoCommTerz</f>
        <v>416.43</v>
      </c>
      <c r="H26" s="233"/>
      <c r="I26" s="216"/>
      <c r="J26" s="220"/>
      <c r="K26" s="220"/>
      <c r="L26" s="200"/>
      <c r="M26" s="231"/>
      <c r="N26" s="232">
        <f ca="1">DetClasse_CostoMaggioratoCommTerz</f>
        <v>416.43</v>
      </c>
      <c r="O26" s="206"/>
      <c r="P26" s="200"/>
      <c r="Q26" s="200"/>
      <c r="R26" s="231"/>
      <c r="S26"/>
    </row>
    <row r="27" spans="2:19" s="210" customFormat="1" ht="12.75" customHeight="1" thickBot="1" x14ac:dyDescent="0.25">
      <c r="B27" s="1169" t="s">
        <v>351</v>
      </c>
      <c r="C27" s="1169"/>
      <c r="D27" s="1169"/>
      <c r="E27" s="1175"/>
      <c r="F27" s="666"/>
      <c r="G27" s="232">
        <f ca="1">G26*G18</f>
        <v>0</v>
      </c>
      <c r="H27" s="233"/>
      <c r="I27" s="216"/>
      <c r="J27" s="220"/>
      <c r="K27" s="220"/>
      <c r="L27" s="200"/>
      <c r="M27" s="231"/>
      <c r="N27" s="232">
        <f ca="1">N26*N18</f>
        <v>0</v>
      </c>
      <c r="O27" s="206"/>
      <c r="P27" s="200"/>
      <c r="Q27" s="200"/>
      <c r="R27" s="231"/>
      <c r="S27"/>
    </row>
    <row r="28" spans="2:19" s="210" customFormat="1" ht="12.75" customHeight="1" x14ac:dyDescent="0.2">
      <c r="B28" s="234"/>
      <c r="C28" s="220"/>
      <c r="D28" s="220"/>
      <c r="E28" s="220"/>
      <c r="F28" s="220"/>
      <c r="G28" s="235"/>
      <c r="H28" s="233"/>
      <c r="I28" s="216"/>
      <c r="J28" s="220"/>
      <c r="K28" s="220"/>
      <c r="L28" s="220"/>
      <c r="M28" s="220"/>
      <c r="N28" s="220"/>
      <c r="O28" s="206"/>
      <c r="P28" s="200"/>
      <c r="Q28" s="200"/>
      <c r="R28" s="201"/>
      <c r="S28" s="201"/>
    </row>
    <row r="29" spans="2:19" s="210" customFormat="1" ht="12.75" customHeight="1" thickBot="1" x14ac:dyDescent="0.25">
      <c r="B29" s="1168" t="s">
        <v>202</v>
      </c>
      <c r="C29" s="1168"/>
      <c r="D29" s="1168"/>
      <c r="F29" s="227" t="s">
        <v>132</v>
      </c>
      <c r="G29" s="236"/>
      <c r="H29" s="206"/>
      <c r="I29" s="206"/>
      <c r="J29" s="200"/>
      <c r="K29" s="200"/>
      <c r="L29" s="200"/>
      <c r="M29" s="231" t="s">
        <v>132</v>
      </c>
      <c r="N29" s="200"/>
      <c r="O29" s="206"/>
      <c r="P29" s="200"/>
      <c r="Q29" s="200"/>
      <c r="R29" s="231" t="s">
        <v>132</v>
      </c>
      <c r="S29" s="201"/>
    </row>
    <row r="30" spans="2:19" s="210" customFormat="1" ht="12.75" customHeight="1" thickBot="1" x14ac:dyDescent="0.25">
      <c r="B30" s="1169" t="s">
        <v>354</v>
      </c>
      <c r="C30" s="1169"/>
      <c r="D30" s="1175"/>
      <c r="E30" s="676"/>
      <c r="F30" s="237">
        <f ca="1">IF(ISERROR(MATCH(DetCL_DettContCostoCost_SommaIncrementi,INDIRECT(DetClasse_NomeMatriceMinClassi),1))=TRUE,INDEX(INDIRECT(DetClasse_NomeMatrice),1,5),INDEX(INDIRECT(DetClasse_NomeMatrice),MATCH(DetCL_DettContCostoCost_SommaIncrementi,INDIRECT(DetClasse_NomeMatriceMinClassi),1),5))</f>
        <v>6</v>
      </c>
      <c r="G30" s="232">
        <f ca="1">CostoCost_NuovaCost_CcEdificio*CostoCost_NuovaCost_ContrBaseMinistAliq/100</f>
        <v>0</v>
      </c>
      <c r="H30" s="206"/>
      <c r="I30" s="206"/>
      <c r="J30" s="200"/>
      <c r="K30" s="200"/>
      <c r="L30" s="200"/>
      <c r="M30" s="237">
        <f ca="1">IF(ISERROR(MATCH(DetCL_DettContCostoCost_SommaIncrementi,INDIRECT(DetClasse_NomeMatriceMinClassi),1))=TRUE,INDEX(INDIRECT(DetClasse_NomeMatrice),1,6),INDEX(INDIRECT(DetClasse_NomeMatrice),MATCH(DetCL_DettContCostoCost_SommaIncrementi,INDIRECT(DetClasse_NomeMatriceMinClassi),1),6))</f>
        <v>5</v>
      </c>
      <c r="N30" s="232">
        <f ca="1">CostoCost_Rist_CcEdificio*CostoCost_Rist_ContrBaseMinistAliq/100</f>
        <v>0</v>
      </c>
      <c r="O30" s="206"/>
      <c r="P30" s="206"/>
      <c r="Q30" s="206"/>
      <c r="R30" s="237">
        <f ca="1">IF(ISERROR(MATCH(DetCL_DettContCostoCost_SommaIncrementi,INDIRECT(DetClasse_NomeMatriceMinClassi),1))=TRUE,INDEX(INDIRECT(DetClasse_NomeMatrice),1,6),INDEX(INDIRECT(DetClasse_NomeMatrice),MATCH(DetCL_DettContCostoCost_SommaIncrementi,INDIRECT(DetClasse_NomeMatriceMinClassi),1),6))</f>
        <v>5</v>
      </c>
      <c r="S30" s="232">
        <f ca="1">CostoCost_Sot_CcEdificio*CostoCost_Sot_ContrBaseMinistAliq/100</f>
        <v>0</v>
      </c>
    </row>
    <row r="31" spans="2:19" s="210" customFormat="1" ht="12.75" customHeight="1" thickBot="1" x14ac:dyDescent="0.25">
      <c r="B31" s="1169" t="s">
        <v>355</v>
      </c>
      <c r="C31" s="1169"/>
      <c r="D31" s="1175"/>
      <c r="E31" s="676"/>
      <c r="F31" s="237">
        <f ca="1">IF(ISERROR(MATCH(DetCL_DettContCostoCost_SommaIncrementi,INDIRECT(DetClasse_NomeMatriceMinClassi),1))=TRUE,INDEX(INDIRECT(DetClasse_NomeMatrice),1,5),INDEX(INDIRECT(DetClasse_NomeMatrice),MATCH(DetCL_DettContCostoCost_SommaIncrementi,INDIRECT(DetClasse_NomeMatriceMinClassi),1),5))</f>
        <v>6</v>
      </c>
      <c r="G31" s="232">
        <f ca="1">CostoCost_CommTerz_CcEdificio*F31/100</f>
        <v>0</v>
      </c>
      <c r="H31" s="206"/>
      <c r="I31" s="206"/>
      <c r="J31" s="200"/>
      <c r="K31" s="200"/>
      <c r="L31" s="200"/>
      <c r="M31" s="237">
        <f ca="1">IF(ISERROR(MATCH(DetCL_DettContCostoCost_SommaIncrementi,INDIRECT(DetClasse_NomeMatriceMinClassi),1))=TRUE,INDEX(INDIRECT(DetClasse_NomeMatrice),1,6),INDEX(INDIRECT(DetClasse_NomeMatrice),MATCH(DetCL_DettContCostoCost_SommaIncrementi,INDIRECT(DetClasse_NomeMatriceMinClassi),1),6))</f>
        <v>5</v>
      </c>
      <c r="N31" s="232">
        <f ca="1">N27*M31/100</f>
        <v>0</v>
      </c>
      <c r="O31" s="206"/>
      <c r="P31" s="206"/>
      <c r="Q31" s="206"/>
      <c r="R31" s="655"/>
      <c r="S31" s="325"/>
    </row>
    <row r="32" spans="2:19" s="210" customFormat="1" ht="12.75" customHeight="1" thickBot="1" x14ac:dyDescent="0.25">
      <c r="B32" s="1169" t="s">
        <v>356</v>
      </c>
      <c r="C32" s="1169"/>
      <c r="D32" s="1175"/>
      <c r="E32" s="51"/>
      <c r="F32" s="51"/>
      <c r="G32"/>
      <c r="H32" s="206"/>
      <c r="I32" s="206"/>
      <c r="J32" s="200"/>
      <c r="K32" s="200"/>
      <c r="L32" s="200"/>
      <c r="M32" s="237">
        <f ca="1">IF(ISERROR(MATCH(DetCL_DettContCostoCost_SommaIncrementi,INDIRECT(DetClasse_NomeMatriceMinClassi),1))=TRUE,INDEX(INDIRECT(DetClasse_NomeMatrice),1,6),INDEX(INDIRECT(DetClasse_NomeMatrice),MATCH(DetCL_DettContCostoCost_SommaIncrementi,INDIRECT(DetClasse_NomeMatriceMinClassi),1),6))</f>
        <v>5</v>
      </c>
      <c r="N32" s="232">
        <f ca="1">CostoCost_Rist_Resid_ComputoEstim*CostoCost_Rist_ContrComEstResAliq/100</f>
        <v>0</v>
      </c>
      <c r="O32" s="206"/>
      <c r="P32" s="206"/>
      <c r="Q32" s="206"/>
      <c r="R32" s="237">
        <f ca="1">IF(ISERROR(MATCH(DetCL_DettContCostoCost_SommaIncrementi,INDIRECT(DetClasse_NomeMatriceMinClassi),1))=TRUE,INDEX(INDIRECT(DetClasse_NomeMatrice),1,6),INDEX(INDIRECT(DetClasse_NomeMatrice),MATCH(DetCL_DettContCostoCost_SommaIncrementi,INDIRECT(DetClasse_NomeMatriceMinClassi),1),6))</f>
        <v>5</v>
      </c>
      <c r="S32" s="232">
        <f ca="1">CostoCost_Sottotetti_ComputoEstim*CostoCost_Sot_ContrComEstResAliq/100</f>
        <v>0</v>
      </c>
    </row>
    <row r="33" spans="2:19" s="210" customFormat="1" ht="12.75" customHeight="1" thickBot="1" x14ac:dyDescent="0.25">
      <c r="B33" s="1169" t="s">
        <v>357</v>
      </c>
      <c r="C33" s="1169"/>
      <c r="D33" s="1175"/>
      <c r="E33" s="676"/>
      <c r="F33" s="459">
        <f>Parametri_Aliquota_terziario_nuova_costr</f>
        <v>0.1</v>
      </c>
      <c r="G33" s="232">
        <f>CostoCost_NuovaCostComm_ComputoEstim*CostoCost_NuovaCost_ContrComEstComAliq</f>
        <v>0</v>
      </c>
      <c r="H33" s="206"/>
      <c r="I33" s="206"/>
      <c r="J33" s="200"/>
      <c r="K33" s="200"/>
      <c r="L33" s="200"/>
      <c r="M33" s="459">
        <f>Parametri_Aliquota_terziario_ristrutt</f>
        <v>0.1</v>
      </c>
      <c r="N33" s="232">
        <f>CostoCost_RistComm_ComputoEstim*CostoCost_Rist_ContrComEstComAliq</f>
        <v>0</v>
      </c>
      <c r="O33" s="206"/>
      <c r="P33" s="206"/>
      <c r="Q33" s="206"/>
      <c r="R33" s="201"/>
      <c r="S33" s="325"/>
    </row>
    <row r="34" spans="2:19" s="210" customFormat="1" ht="12.75" customHeight="1" thickBot="1" x14ac:dyDescent="0.25">
      <c r="B34" s="1175" t="s">
        <v>129</v>
      </c>
      <c r="C34" s="1175"/>
      <c r="D34" s="1175"/>
      <c r="E34" s="200"/>
      <c r="F34" s="200"/>
      <c r="G34" s="232">
        <f ca="1">G30+G31+G33</f>
        <v>0</v>
      </c>
      <c r="H34" s="206"/>
      <c r="I34" s="206"/>
      <c r="J34" s="200"/>
      <c r="K34" s="200"/>
      <c r="L34" s="200"/>
      <c r="M34" s="200"/>
      <c r="N34" s="232">
        <f ca="1">N30+N31+N32+N33</f>
        <v>0</v>
      </c>
      <c r="O34" s="206"/>
      <c r="P34" s="206"/>
      <c r="Q34" s="206"/>
      <c r="R34" s="201"/>
      <c r="S34" s="232">
        <f ca="1">S30+S32</f>
        <v>0</v>
      </c>
    </row>
    <row r="35" spans="2:19" s="210" customFormat="1" ht="12.75" customHeight="1" thickBot="1" x14ac:dyDescent="0.25">
      <c r="B35" s="234"/>
      <c r="C35" s="220"/>
      <c r="D35" s="220"/>
      <c r="E35" s="200"/>
      <c r="F35" s="200"/>
      <c r="G35" s="236"/>
      <c r="H35" s="206"/>
      <c r="I35" s="206"/>
      <c r="J35" s="200"/>
      <c r="K35" s="200"/>
      <c r="L35" s="200"/>
      <c r="M35" s="200"/>
      <c r="N35" s="200"/>
      <c r="O35" s="206"/>
      <c r="P35" s="206"/>
      <c r="Q35" s="206"/>
      <c r="R35" s="201"/>
      <c r="S35" s="205"/>
    </row>
    <row r="36" spans="2:19" s="210" customFormat="1" ht="12.75" customHeight="1" thickBot="1" x14ac:dyDescent="0.25">
      <c r="B36" s="1168" t="s">
        <v>203</v>
      </c>
      <c r="C36" s="1168"/>
      <c r="D36" s="1168"/>
      <c r="E36" s="200"/>
      <c r="F36" s="200"/>
      <c r="G36" s="236"/>
      <c r="H36" s="206"/>
      <c r="I36" s="206"/>
      <c r="J36" s="200"/>
      <c r="K36" s="200"/>
      <c r="L36" s="200"/>
      <c r="M36" s="200"/>
      <c r="N36" s="200"/>
      <c r="O36" s="206"/>
      <c r="P36" s="206"/>
      <c r="Q36" s="1177" t="s">
        <v>6</v>
      </c>
      <c r="R36" s="1178"/>
      <c r="S36" s="239">
        <f>Parametri_MaggiorazioneSottotettiCC</f>
        <v>0</v>
      </c>
    </row>
    <row r="37" spans="2:19" s="210" customFormat="1" ht="12.75" customHeight="1" thickBot="1" x14ac:dyDescent="0.25">
      <c r="B37" s="1169" t="s">
        <v>130</v>
      </c>
      <c r="C37" s="1169"/>
      <c r="D37" s="1169"/>
      <c r="E37" s="200"/>
      <c r="F37" s="200"/>
      <c r="G37" s="440">
        <v>0</v>
      </c>
      <c r="H37" s="206"/>
      <c r="I37" s="206"/>
      <c r="J37" s="200"/>
      <c r="K37" s="200"/>
      <c r="L37" s="200"/>
      <c r="M37" s="200"/>
      <c r="N37" s="442">
        <v>0</v>
      </c>
      <c r="O37" s="206"/>
      <c r="P37" s="206"/>
      <c r="S37" s="442">
        <v>0</v>
      </c>
    </row>
    <row r="38" spans="2:19" s="210" customFormat="1" ht="12.75" customHeight="1" thickBot="1" x14ac:dyDescent="0.25">
      <c r="B38" s="1184" t="s">
        <v>131</v>
      </c>
      <c r="C38" s="1184"/>
      <c r="D38" s="1184"/>
      <c r="E38" s="200"/>
      <c r="F38" s="200"/>
      <c r="G38" s="440">
        <v>0</v>
      </c>
      <c r="H38" s="206"/>
      <c r="I38" s="206"/>
      <c r="J38" s="200"/>
      <c r="K38" s="200"/>
      <c r="L38" s="200"/>
      <c r="M38" s="200"/>
      <c r="N38" s="442">
        <v>0</v>
      </c>
      <c r="O38" s="206"/>
      <c r="P38" s="206"/>
      <c r="Q38" s="206"/>
      <c r="R38" s="201"/>
      <c r="S38" s="442">
        <v>0</v>
      </c>
    </row>
    <row r="39" spans="2:19" s="210" customFormat="1" ht="12.75" customHeight="1" thickBot="1" x14ac:dyDescent="0.25">
      <c r="B39" s="240"/>
      <c r="C39" s="205"/>
      <c r="D39" s="205"/>
      <c r="E39" s="200"/>
      <c r="F39" s="200"/>
      <c r="G39" s="236"/>
      <c r="H39" s="206"/>
      <c r="I39" s="206"/>
      <c r="J39" s="200"/>
      <c r="K39" s="200"/>
      <c r="L39" s="200"/>
      <c r="M39" s="200"/>
      <c r="N39" s="200"/>
      <c r="O39" s="206"/>
      <c r="P39" s="206"/>
      <c r="Q39" s="206"/>
      <c r="R39" s="201"/>
      <c r="S39" s="205"/>
    </row>
    <row r="40" spans="2:19" s="210" customFormat="1" ht="12.75" customHeight="1" thickBot="1" x14ac:dyDescent="0.25">
      <c r="B40" s="1182" t="s">
        <v>204</v>
      </c>
      <c r="C40" s="1182"/>
      <c r="D40" s="1182"/>
      <c r="E40" s="1183"/>
      <c r="F40" s="669"/>
      <c r="G40" s="328">
        <f ca="1">IF(EdiliziaConvenzionata="No",G34-G37-G38,"0")</f>
        <v>0</v>
      </c>
      <c r="H40" s="206"/>
      <c r="I40" s="206"/>
      <c r="J40" s="200"/>
      <c r="K40" s="200"/>
      <c r="L40" s="200"/>
      <c r="M40" s="200"/>
      <c r="N40" s="328">
        <f ca="1">IF(EdiliziaConvenzionata="No",N34-N37-N38,"0")</f>
        <v>0</v>
      </c>
      <c r="O40" s="206"/>
      <c r="P40" s="206"/>
      <c r="Q40" s="206"/>
      <c r="R40" s="201"/>
      <c r="S40" s="328">
        <f ca="1">IF(EdiliziaConvenzionata="No",(S34*S36)+S34-CostoCostr_Sottotetti_corrisposto_concessione_cong-CostoCostr_Sottotetti_corrisposto_varianti,"0")</f>
        <v>0</v>
      </c>
    </row>
    <row r="41" spans="2:19" s="243" customFormat="1" ht="12.75" customHeight="1" thickBot="1" x14ac:dyDescent="0.25">
      <c r="B41" s="242"/>
      <c r="C41" s="242"/>
      <c r="D41" s="242"/>
      <c r="E41" s="242"/>
      <c r="F41" s="242"/>
      <c r="J41" s="242"/>
      <c r="K41" s="242"/>
      <c r="L41" s="242"/>
      <c r="M41" s="242"/>
      <c r="N41" s="242"/>
    </row>
    <row r="42" spans="2:19" s="327" customFormat="1" ht="15" customHeight="1" thickBot="1" x14ac:dyDescent="0.3">
      <c r="B42" s="1176" t="s">
        <v>99</v>
      </c>
      <c r="C42" s="1176"/>
      <c r="D42" s="1176"/>
      <c r="E42" s="1176"/>
      <c r="F42" s="665"/>
      <c r="G42" s="1179">
        <f ca="1">CostoCost_NuovaEdif_Dovuto+CostoCost_RistrAmpl_Dovuto+DettContCostoCost_Sottot_Dovuto</f>
        <v>0</v>
      </c>
      <c r="H42" s="1180"/>
      <c r="I42" s="1180"/>
      <c r="J42" s="1180"/>
      <c r="K42" s="1180"/>
      <c r="L42" s="1180"/>
      <c r="M42" s="1180"/>
      <c r="N42" s="1180"/>
      <c r="O42" s="1180"/>
      <c r="P42" s="1180"/>
      <c r="Q42" s="1180"/>
      <c r="R42" s="1180"/>
      <c r="S42" s="1181"/>
    </row>
    <row r="43" spans="2:19" ht="12.75" customHeight="1" x14ac:dyDescent="0.2">
      <c r="B43" s="203"/>
      <c r="C43" s="203"/>
      <c r="D43" s="203"/>
    </row>
    <row r="44" spans="2:19" ht="15" hidden="1" customHeight="1" x14ac:dyDescent="0.2"/>
    <row r="45" spans="2:19" ht="15" hidden="1" customHeight="1" x14ac:dyDescent="0.2"/>
    <row r="46" spans="2:19" ht="15" hidden="1" customHeight="1" x14ac:dyDescent="0.2"/>
    <row r="47" spans="2:19" ht="15" hidden="1" customHeight="1" x14ac:dyDescent="0.2"/>
    <row r="48" spans="2:19" ht="15" hidden="1" customHeight="1" x14ac:dyDescent="0.2"/>
    <row r="49" spans="7:7" ht="15" hidden="1" customHeight="1" x14ac:dyDescent="0.2">
      <c r="G49" s="245"/>
    </row>
    <row r="50" spans="7:7" ht="15" hidden="1" customHeight="1" x14ac:dyDescent="0.2"/>
    <row r="51" spans="7:7" ht="15" hidden="1" customHeight="1" x14ac:dyDescent="0.2"/>
    <row r="52" spans="7:7" ht="15" hidden="1" customHeight="1" x14ac:dyDescent="0.2"/>
    <row r="53" spans="7:7" ht="15" hidden="1" customHeight="1" x14ac:dyDescent="0.2"/>
    <row r="54" spans="7:7" ht="15" hidden="1" customHeight="1" x14ac:dyDescent="0.2"/>
    <row r="55" spans="7:7" ht="15" hidden="1" customHeight="1" x14ac:dyDescent="0.2"/>
    <row r="56" spans="7:7" ht="14.25" hidden="1" customHeight="1" x14ac:dyDescent="0.2"/>
    <row r="57" spans="7:7" ht="15" hidden="1" customHeight="1" x14ac:dyDescent="0.2"/>
    <row r="58" spans="7:7" ht="15" hidden="1" customHeight="1" x14ac:dyDescent="0.2"/>
    <row r="59" spans="7:7" ht="15" hidden="1" customHeight="1" x14ac:dyDescent="0.2"/>
    <row r="60" spans="7:7" ht="15" hidden="1" customHeight="1" x14ac:dyDescent="0.2"/>
    <row r="61" spans="7:7" ht="15" hidden="1" customHeight="1" x14ac:dyDescent="0.2"/>
    <row r="62" spans="7:7" ht="15" hidden="1" customHeight="1" x14ac:dyDescent="0.2"/>
    <row r="63" spans="7:7" ht="15" hidden="1" customHeight="1" x14ac:dyDescent="0.2"/>
    <row r="64" spans="7:7"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1.25" hidden="1" customHeight="1" x14ac:dyDescent="0.2"/>
    <row r="90" ht="11.25" hidden="1" customHeight="1" x14ac:dyDescent="0.2"/>
  </sheetData>
  <sheetProtection sheet="1" insertRows="0"/>
  <mergeCells count="58">
    <mergeCell ref="P3:S3"/>
    <mergeCell ref="E3:G3"/>
    <mergeCell ref="Q2:R2"/>
    <mergeCell ref="P8:R8"/>
    <mergeCell ref="C4:E4"/>
    <mergeCell ref="P4:R4"/>
    <mergeCell ref="P5:R5"/>
    <mergeCell ref="P6:R6"/>
    <mergeCell ref="K8:M8"/>
    <mergeCell ref="P7:R7"/>
    <mergeCell ref="C7:E7"/>
    <mergeCell ref="K4:M4"/>
    <mergeCell ref="K5:M5"/>
    <mergeCell ref="C5:E5"/>
    <mergeCell ref="C6:E6"/>
    <mergeCell ref="K6:M6"/>
    <mergeCell ref="C2:G2"/>
    <mergeCell ref="C17:E17"/>
    <mergeCell ref="B22:E22"/>
    <mergeCell ref="C13:E13"/>
    <mergeCell ref="K2:N2"/>
    <mergeCell ref="K3:N3"/>
    <mergeCell ref="K7:M7"/>
    <mergeCell ref="Q36:R36"/>
    <mergeCell ref="B23:E23"/>
    <mergeCell ref="B29:D29"/>
    <mergeCell ref="B30:D30"/>
    <mergeCell ref="B32:D32"/>
    <mergeCell ref="B33:D33"/>
    <mergeCell ref="B34:D34"/>
    <mergeCell ref="B27:E27"/>
    <mergeCell ref="B31:D31"/>
    <mergeCell ref="B26:E26"/>
    <mergeCell ref="B25:E25"/>
    <mergeCell ref="B20:E20"/>
    <mergeCell ref="B21:E21"/>
    <mergeCell ref="C18:E18"/>
    <mergeCell ref="K18:L18"/>
    <mergeCell ref="B42:E42"/>
    <mergeCell ref="G42:S42"/>
    <mergeCell ref="B40:E40"/>
    <mergeCell ref="B38:D38"/>
    <mergeCell ref="T7:T8"/>
    <mergeCell ref="B36:D36"/>
    <mergeCell ref="B37:D37"/>
    <mergeCell ref="K13:M13"/>
    <mergeCell ref="K14:M14"/>
    <mergeCell ref="K15:M15"/>
    <mergeCell ref="C14:E14"/>
    <mergeCell ref="C15:E15"/>
    <mergeCell ref="K11:M11"/>
    <mergeCell ref="C11:E11"/>
    <mergeCell ref="C12:E12"/>
    <mergeCell ref="C10:G10"/>
    <mergeCell ref="K10:N10"/>
    <mergeCell ref="K12:M12"/>
    <mergeCell ref="K17:M17"/>
    <mergeCell ref="P17:R17"/>
  </mergeCells>
  <conditionalFormatting sqref="G11:G12 G15 G37:G38 G4:G5">
    <cfRule type="expression" dxfId="7" priority="10" stopIfTrue="1">
      <formula>$P$10=FALSE</formula>
    </cfRule>
  </conditionalFormatting>
  <conditionalFormatting sqref="S4:S5 S8">
    <cfRule type="expression" dxfId="6" priority="9" stopIfTrue="1">
      <formula>$P$12=FALSE</formula>
    </cfRule>
  </conditionalFormatting>
  <conditionalFormatting sqref="N4:N5 N8 N11:N12 N15 N37:N38">
    <cfRule type="expression" dxfId="5" priority="8" stopIfTrue="1">
      <formula>$P$11=FALSE</formula>
    </cfRule>
  </conditionalFormatting>
  <conditionalFormatting sqref="G18">
    <cfRule type="expression" dxfId="4" priority="6">
      <formula>CostoCost_NuovaCostComm_SupCompl&gt;((DetClasseEdificio_SupUtile+DetClasse_SupUtile)*0.25)</formula>
    </cfRule>
  </conditionalFormatting>
  <conditionalFormatting sqref="N18">
    <cfRule type="expression" dxfId="3" priority="5">
      <formula>CostoCost_RistComm_SupCompl&gt;((DetClasseEdificio_SupUtile+DetClasse_SupUtile)*0.25)</formula>
    </cfRule>
  </conditionalFormatting>
  <conditionalFormatting sqref="G4:G5">
    <cfRule type="expression" dxfId="2" priority="4">
      <formula>$F$4+$F$5&gt;0</formula>
    </cfRule>
  </conditionalFormatting>
  <conditionalFormatting sqref="S37:S38">
    <cfRule type="expression" dxfId="1" priority="3" stopIfTrue="1">
      <formula>$P$11=FALSE</formula>
    </cfRule>
  </conditionalFormatting>
  <conditionalFormatting sqref="E3">
    <cfRule type="expression" dxfId="0" priority="2" stopIfTrue="1">
      <formula>$P$10=FALSE</formula>
    </cfRule>
  </conditionalFormatting>
  <dataValidations count="4">
    <dataValidation type="list" allowBlank="1" showInputMessage="1" showErrorMessage="1" sqref="E3:G3" xr:uid="{00000000-0002-0000-0600-000000000000}">
      <formula1>"selezionare una voce,inserimento manuale delle superfici,copia i dati da scheda Edificio"</formula1>
    </dataValidation>
    <dataValidation allowBlank="1" showInputMessage="1" showErrorMessage="1" prompt="S.u.a. derivanti dalla compilazione del foglio &quot;Calcolo superfici edificio&quot;. Riguarda la superificie di pavimento degli alloggi misurata al netto di murature, pilastri, tramezzi, sguinci, vani di porte e finestre, eventuali scale interne, logge e balconi" sqref="N19" xr:uid="{00000000-0002-0000-0600-000001000000}"/>
    <dataValidation allowBlank="1" showInputMessage="1" showErrorMessage="1" prompt="Nel caso di edifici residenziali/commerciali con porzioni terziario/commerciale superiore al 25% della superficie utile residenziale, occorre inserire il computo metrico anziché i valori di superfici." sqref="F18 M18 F15" xr:uid="{00000000-0002-0000-0600-000002000000}"/>
    <dataValidation allowBlank="1" showInputMessage="1" showErrorMessage="1" promptTitle="LR 12/05, art. 64, comma 7bis" prompt="Se:_x000a_-superficie lorda inferiore/uguale a 40 mq_x000a_-costituisce pertinenza di unità immobiliari collegata direttamente a essi_x000a_-prima casa_x000a_allora è esente da costo costruzione, reperimento parcheggi/aree servizi/monetizzazione" sqref="S2" xr:uid="{00000000-0002-0000-0600-000003000000}"/>
  </dataValidations>
  <hyperlinks>
    <hyperlink ref="T7:T8" location="'Procedura guidata'!A1" display="Torna alla procedura guidata!" xr:uid="{00000000-0004-0000-0600-000000000000}"/>
  </hyperlinks>
  <printOptions horizontalCentered="1"/>
  <pageMargins left="0.15748031496062992" right="0.15748031496062992" top="0.27559055118110237" bottom="0.27559055118110237" header="0.27559055118110237" footer="0.51181102362204722"/>
  <pageSetup paperSize="9" scale="8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66"/>
    <pageSetUpPr fitToPage="1"/>
  </sheetPr>
  <dimension ref="A1:AB53"/>
  <sheetViews>
    <sheetView showGridLines="0" showZeros="0" workbookViewId="0"/>
  </sheetViews>
  <sheetFormatPr defaultColWidth="0" defaultRowHeight="12.75" customHeight="1" zeroHeight="1" x14ac:dyDescent="0.2"/>
  <cols>
    <col min="1" max="1" width="5.7109375" style="204" customWidth="1"/>
    <col min="2" max="2" width="9.5703125" style="204" customWidth="1"/>
    <col min="3" max="3" width="6.7109375" style="204" customWidth="1"/>
    <col min="4" max="5" width="10.7109375" style="204" customWidth="1"/>
    <col min="6" max="6" width="1.42578125" style="204" hidden="1" customWidth="1"/>
    <col min="7" max="7" width="5.42578125" style="204" hidden="1" customWidth="1"/>
    <col min="8" max="8" width="10.7109375" style="204" customWidth="1"/>
    <col min="9" max="9" width="5.7109375" style="204" customWidth="1"/>
    <col min="10" max="10" width="10.7109375" style="204" customWidth="1"/>
    <col min="11" max="11" width="6.7109375" style="204" customWidth="1"/>
    <col min="12" max="12" width="9" style="204" customWidth="1"/>
    <col min="13" max="13" width="3.7109375" style="204" customWidth="1"/>
    <col min="14" max="14" width="16.7109375" style="204" customWidth="1"/>
    <col min="15" max="16" width="5.7109375" style="204" customWidth="1"/>
    <col min="17" max="17" width="18.7109375" style="204" customWidth="1"/>
    <col min="18" max="18" width="6.28515625" style="204" hidden="1" customWidth="1"/>
    <col min="19" max="19" width="13.42578125" style="204" hidden="1" customWidth="1"/>
    <col min="20" max="20" width="4.42578125" style="204" hidden="1" customWidth="1"/>
    <col min="21" max="21" width="3.7109375" style="204" hidden="1" customWidth="1"/>
    <col min="22" max="22" width="8.42578125" style="204" hidden="1" customWidth="1"/>
    <col min="23" max="23" width="6.7109375" style="204" hidden="1" customWidth="1"/>
    <col min="24" max="24" width="9.42578125" style="204" hidden="1" customWidth="1"/>
    <col min="25" max="25" width="4.7109375" style="204" hidden="1" customWidth="1"/>
    <col min="26" max="26" width="3.5703125" style="204" hidden="1" customWidth="1"/>
    <col min="27" max="27" width="12.42578125" style="204" hidden="1" customWidth="1"/>
    <col min="28" max="28" width="14.28515625" style="204" hidden="1" customWidth="1"/>
    <col min="29" max="16384" width="9.140625" style="204" hidden="1"/>
  </cols>
  <sheetData>
    <row r="1" spans="1:17" s="327" customFormat="1" ht="15" customHeight="1" thickBot="1" x14ac:dyDescent="0.25">
      <c r="A1" s="392"/>
      <c r="B1" s="1208" t="s">
        <v>200</v>
      </c>
      <c r="C1" s="1208"/>
      <c r="D1" s="1208"/>
      <c r="E1" s="1208"/>
      <c r="F1" s="1208"/>
      <c r="G1" s="1208"/>
      <c r="H1" s="1208"/>
      <c r="I1" s="1208"/>
      <c r="J1" s="1208"/>
      <c r="K1" s="1208"/>
      <c r="L1" s="1208"/>
      <c r="M1" s="1208"/>
      <c r="N1" s="1208"/>
      <c r="O1" s="1208"/>
      <c r="P1" s="1208"/>
      <c r="Q1" s="1208"/>
    </row>
    <row r="2" spans="1:17" s="210" customFormat="1" ht="12.75" customHeight="1" thickBot="1" x14ac:dyDescent="0.25">
      <c r="A2" s="263"/>
      <c r="B2" s="1226" t="s">
        <v>102</v>
      </c>
      <c r="C2" s="1227"/>
      <c r="D2" s="1213" t="s">
        <v>0</v>
      </c>
      <c r="E2" s="1214"/>
      <c r="F2" s="1214"/>
      <c r="G2" s="1214"/>
      <c r="H2" s="1215"/>
      <c r="I2" s="205"/>
      <c r="J2" s="205"/>
      <c r="K2" s="205"/>
      <c r="L2" s="205"/>
      <c r="M2" s="205"/>
      <c r="N2" s="205"/>
      <c r="O2" s="205"/>
      <c r="P2" s="205"/>
      <c r="Q2" s="241"/>
    </row>
    <row r="3" spans="1:17" s="210" customFormat="1" ht="12.75" customHeight="1" thickBot="1" x14ac:dyDescent="0.25">
      <c r="A3" s="201"/>
      <c r="B3" s="1226" t="s">
        <v>120</v>
      </c>
      <c r="C3" s="1227"/>
      <c r="D3" s="1213" t="s">
        <v>251</v>
      </c>
      <c r="E3" s="1214"/>
      <c r="F3" s="1214"/>
      <c r="G3" s="1214"/>
      <c r="H3" s="1215"/>
      <c r="I3" s="205"/>
      <c r="J3" s="205"/>
      <c r="K3" s="205"/>
      <c r="L3" s="205"/>
      <c r="M3" s="205"/>
      <c r="N3" s="205"/>
      <c r="O3" s="205"/>
      <c r="P3" s="205"/>
      <c r="Q3" s="241"/>
    </row>
    <row r="4" spans="1:17" s="210" customFormat="1" ht="12.75" customHeight="1" thickBot="1" x14ac:dyDescent="0.25">
      <c r="A4" s="201"/>
      <c r="B4" s="321" t="s">
        <v>19</v>
      </c>
      <c r="C4" s="220"/>
      <c r="D4" s="201"/>
      <c r="E4" s="201"/>
      <c r="F4" s="377" t="s">
        <v>20</v>
      </c>
      <c r="G4" s="201"/>
      <c r="H4" s="201"/>
      <c r="I4" s="201"/>
      <c r="J4" s="201"/>
      <c r="K4" s="201"/>
      <c r="L4" s="201"/>
      <c r="M4" s="201"/>
      <c r="N4" s="201"/>
      <c r="O4" s="201"/>
      <c r="P4" s="201"/>
      <c r="Q4" s="201"/>
    </row>
    <row r="5" spans="1:17" ht="12.75" customHeight="1" x14ac:dyDescent="0.2">
      <c r="A5" s="201"/>
      <c r="B5" s="1116" t="s">
        <v>21</v>
      </c>
      <c r="C5" s="1118"/>
      <c r="D5" s="252" t="s">
        <v>106</v>
      </c>
      <c r="E5" s="252" t="s">
        <v>105</v>
      </c>
      <c r="F5" s="252" t="s">
        <v>22</v>
      </c>
      <c r="G5" s="276"/>
      <c r="H5" s="251" t="s">
        <v>23</v>
      </c>
      <c r="I5" s="252" t="s">
        <v>24</v>
      </c>
      <c r="J5" s="255" t="s">
        <v>25</v>
      </c>
      <c r="K5" s="201"/>
      <c r="L5" s="201"/>
      <c r="M5" s="205"/>
      <c r="N5" s="205"/>
      <c r="O5" s="205"/>
      <c r="P5" s="205"/>
      <c r="Q5" s="241"/>
    </row>
    <row r="6" spans="1:17" ht="12.75" customHeight="1" thickBot="1" x14ac:dyDescent="0.25">
      <c r="A6" s="201"/>
      <c r="B6" s="1151" t="s">
        <v>194</v>
      </c>
      <c r="C6" s="1152"/>
      <c r="D6" s="430"/>
      <c r="E6" s="432"/>
      <c r="F6" s="258"/>
      <c r="G6" s="259"/>
      <c r="H6" s="776">
        <f>IF(E6&gt;0,E6/$E$11,0)</f>
        <v>0</v>
      </c>
      <c r="I6" s="260" t="s">
        <v>26</v>
      </c>
      <c r="J6" s="778">
        <f>H6*I6</f>
        <v>0</v>
      </c>
      <c r="K6" s="201"/>
      <c r="L6" s="201"/>
      <c r="M6" s="205"/>
      <c r="N6" s="205"/>
      <c r="O6" s="205"/>
      <c r="P6" s="205"/>
      <c r="Q6" s="1119" t="s">
        <v>242</v>
      </c>
    </row>
    <row r="7" spans="1:17" s="210" customFormat="1" ht="12.75" customHeight="1" x14ac:dyDescent="0.2">
      <c r="A7" s="201"/>
      <c r="B7" s="1151" t="s">
        <v>195</v>
      </c>
      <c r="C7" s="1152"/>
      <c r="D7" s="430"/>
      <c r="E7" s="432"/>
      <c r="F7" s="258"/>
      <c r="G7" s="259"/>
      <c r="H7" s="776">
        <f>IF(E7&gt;0,E7/$E$11,0)</f>
        <v>0</v>
      </c>
      <c r="I7" s="261">
        <v>5</v>
      </c>
      <c r="J7" s="778">
        <f>H7*I7</f>
        <v>0</v>
      </c>
      <c r="K7" s="201"/>
      <c r="L7" s="262"/>
      <c r="M7" s="201"/>
      <c r="N7" s="201"/>
      <c r="O7" s="1217" t="s">
        <v>4</v>
      </c>
      <c r="P7" s="1210" t="s">
        <v>0</v>
      </c>
      <c r="Q7" s="1119"/>
    </row>
    <row r="8" spans="1:17" s="210" customFormat="1" ht="12.75" customHeight="1" x14ac:dyDescent="0.2">
      <c r="A8" s="201"/>
      <c r="B8" s="1151" t="s">
        <v>27</v>
      </c>
      <c r="C8" s="1152"/>
      <c r="D8" s="430"/>
      <c r="E8" s="432">
        <v>0</v>
      </c>
      <c r="F8" s="258"/>
      <c r="G8" s="259"/>
      <c r="H8" s="776">
        <f>IF(E8&gt;0,E8/$E$11,0)</f>
        <v>0</v>
      </c>
      <c r="I8" s="261">
        <v>15</v>
      </c>
      <c r="J8" s="778">
        <f>H8*I8</f>
        <v>0</v>
      </c>
      <c r="K8" s="201"/>
      <c r="L8" s="201"/>
      <c r="M8" s="201"/>
      <c r="N8" s="201"/>
      <c r="O8" s="1218"/>
      <c r="P8" s="1211"/>
    </row>
    <row r="9" spans="1:17" s="210" customFormat="1" ht="12.75" customHeight="1" x14ac:dyDescent="0.2">
      <c r="A9" s="201"/>
      <c r="B9" s="1151" t="s">
        <v>28</v>
      </c>
      <c r="C9" s="1152"/>
      <c r="D9" s="430"/>
      <c r="E9" s="432"/>
      <c r="F9" s="258"/>
      <c r="G9" s="259"/>
      <c r="H9" s="776">
        <f>IF(E9&gt;0,E9/$E$11,0)</f>
        <v>0</v>
      </c>
      <c r="I9" s="261">
        <v>30</v>
      </c>
      <c r="J9" s="778">
        <f>H9*I9</f>
        <v>0</v>
      </c>
      <c r="K9" s="201"/>
      <c r="L9" s="201"/>
      <c r="M9" s="1222" t="s">
        <v>244</v>
      </c>
      <c r="N9" s="1223"/>
      <c r="O9" s="1218"/>
      <c r="P9" s="1211"/>
    </row>
    <row r="10" spans="1:17" s="210" customFormat="1" ht="12.75" customHeight="1" thickBot="1" x14ac:dyDescent="0.25">
      <c r="A10" s="201"/>
      <c r="B10" s="1167" t="s">
        <v>29</v>
      </c>
      <c r="C10" s="1157"/>
      <c r="D10" s="431">
        <v>0</v>
      </c>
      <c r="E10" s="433">
        <v>0</v>
      </c>
      <c r="F10" s="265"/>
      <c r="G10" s="266"/>
      <c r="H10" s="777">
        <f>IF(E10&gt;0,E10/$E$11,0)</f>
        <v>0</v>
      </c>
      <c r="I10" s="267">
        <v>50</v>
      </c>
      <c r="J10" s="779">
        <f>H10*I10</f>
        <v>0</v>
      </c>
      <c r="K10" s="201"/>
      <c r="L10" s="201"/>
      <c r="M10" s="1222"/>
      <c r="N10" s="1223"/>
      <c r="O10" s="1218"/>
      <c r="P10" s="1211"/>
      <c r="Q10" s="202"/>
    </row>
    <row r="11" spans="1:17" s="210" customFormat="1" ht="12.75" customHeight="1" thickBot="1" x14ac:dyDescent="0.25">
      <c r="A11" s="201"/>
      <c r="B11" s="201"/>
      <c r="C11" s="201"/>
      <c r="D11" s="301" t="s">
        <v>30</v>
      </c>
      <c r="E11" s="795">
        <f>SUM(E6:E10)</f>
        <v>0</v>
      </c>
      <c r="F11" s="332"/>
      <c r="G11" s="333"/>
      <c r="H11" s="201" t="s">
        <v>31</v>
      </c>
      <c r="I11" s="201"/>
      <c r="J11" s="371" t="s">
        <v>32</v>
      </c>
      <c r="K11" s="782" t="str">
        <f>IF(SUM(J6:J10)&gt;0,SUM(J6:J10),"0")</f>
        <v>0</v>
      </c>
      <c r="L11" s="201"/>
      <c r="M11" s="1224"/>
      <c r="N11" s="1225"/>
      <c r="O11" s="1218"/>
      <c r="P11" s="1211"/>
      <c r="Q11" s="202"/>
    </row>
    <row r="12" spans="1:17" s="210" customFormat="1" ht="12.75" customHeight="1" x14ac:dyDescent="0.2">
      <c r="A12" s="201"/>
      <c r="B12" s="201"/>
      <c r="C12" s="201"/>
      <c r="D12" s="201"/>
      <c r="E12" s="334"/>
      <c r="F12" s="378"/>
      <c r="G12" s="378"/>
      <c r="H12" s="201"/>
      <c r="I12" s="201"/>
      <c r="J12" s="201"/>
      <c r="K12" s="201"/>
      <c r="L12" s="205"/>
      <c r="M12" s="1247" t="s">
        <v>87</v>
      </c>
      <c r="N12" s="1244" t="s">
        <v>86</v>
      </c>
      <c r="O12" s="1218"/>
      <c r="P12" s="1211"/>
      <c r="Q12" s="202"/>
    </row>
    <row r="13" spans="1:17" s="210" customFormat="1" ht="12.75" customHeight="1" thickBot="1" x14ac:dyDescent="0.25">
      <c r="A13" s="201"/>
      <c r="B13" s="321" t="s">
        <v>33</v>
      </c>
      <c r="C13" s="220"/>
      <c r="D13" s="201"/>
      <c r="E13" s="334"/>
      <c r="F13" s="379"/>
      <c r="G13" s="378"/>
      <c r="H13" s="321" t="s">
        <v>34</v>
      </c>
      <c r="I13" s="201"/>
      <c r="J13" s="201"/>
      <c r="K13" s="205"/>
      <c r="L13" s="275"/>
      <c r="M13" s="1248"/>
      <c r="N13" s="1245"/>
      <c r="O13" s="1218"/>
      <c r="P13" s="1211"/>
      <c r="Q13" s="202"/>
    </row>
    <row r="14" spans="1:17" s="210" customFormat="1" ht="12.75" customHeight="1" x14ac:dyDescent="0.2">
      <c r="A14" s="201"/>
      <c r="B14" s="1116" t="s">
        <v>198</v>
      </c>
      <c r="C14" s="1117"/>
      <c r="D14" s="1118"/>
      <c r="E14" s="277" t="s">
        <v>35</v>
      </c>
      <c r="F14" s="335"/>
      <c r="G14" s="336"/>
      <c r="H14" s="252" t="s">
        <v>36</v>
      </c>
      <c r="I14" s="252" t="s">
        <v>16</v>
      </c>
      <c r="J14" s="255" t="s">
        <v>25</v>
      </c>
      <c r="K14" s="205"/>
      <c r="L14" s="205"/>
      <c r="M14" s="1248"/>
      <c r="N14" s="1246"/>
      <c r="O14" s="1219"/>
      <c r="P14" s="1212"/>
      <c r="Q14" s="241"/>
    </row>
    <row r="15" spans="1:17" s="210" customFormat="1" ht="12.75" customHeight="1" x14ac:dyDescent="0.2">
      <c r="A15" s="201"/>
      <c r="B15" s="1160" t="s">
        <v>191</v>
      </c>
      <c r="C15" s="1161"/>
      <c r="D15" s="1220"/>
      <c r="E15" s="1234"/>
      <c r="F15" s="280">
        <v>0</v>
      </c>
      <c r="G15" s="281"/>
      <c r="H15" s="282" t="s">
        <v>107</v>
      </c>
      <c r="I15" s="784" t="str">
        <f>IF($H$20&lt;=50,"X",)</f>
        <v>X</v>
      </c>
      <c r="J15" s="283" t="s">
        <v>148</v>
      </c>
      <c r="K15" s="205"/>
      <c r="L15" s="205"/>
      <c r="M15" s="1248"/>
      <c r="N15" s="284" t="s">
        <v>37</v>
      </c>
      <c r="O15" s="285">
        <v>0.06</v>
      </c>
      <c r="P15" s="286">
        <v>0.05</v>
      </c>
      <c r="Q15" s="241"/>
    </row>
    <row r="16" spans="1:17" s="210" customFormat="1" ht="12.75" customHeight="1" x14ac:dyDescent="0.2">
      <c r="A16" s="201"/>
      <c r="B16" s="1162"/>
      <c r="C16" s="1163"/>
      <c r="D16" s="1221"/>
      <c r="E16" s="1235"/>
      <c r="F16" s="287"/>
      <c r="G16" s="281"/>
      <c r="H16" s="282" t="s">
        <v>38</v>
      </c>
      <c r="I16" s="784">
        <f>IF(AND($H$20&lt;=75,$H$20&gt;50.001),"X",)</f>
        <v>0</v>
      </c>
      <c r="J16" s="288">
        <v>10</v>
      </c>
      <c r="K16" s="205"/>
      <c r="L16" s="205"/>
      <c r="M16" s="1248"/>
      <c r="N16" s="208" t="s">
        <v>39</v>
      </c>
      <c r="O16" s="289">
        <v>0.08</v>
      </c>
      <c r="P16" s="286">
        <v>0.06</v>
      </c>
      <c r="Q16" s="310"/>
    </row>
    <row r="17" spans="1:17" s="210" customFormat="1" ht="12.75" customHeight="1" x14ac:dyDescent="0.2">
      <c r="A17" s="201"/>
      <c r="B17" s="1151" t="s">
        <v>40</v>
      </c>
      <c r="C17" s="1155"/>
      <c r="D17" s="1152"/>
      <c r="E17" s="337"/>
      <c r="F17" s="287">
        <v>0</v>
      </c>
      <c r="G17" s="281"/>
      <c r="H17" s="282" t="s">
        <v>41</v>
      </c>
      <c r="I17" s="784">
        <f>IF(AND($H$20&lt;=100,$H$20&gt;75.1),"X",)</f>
        <v>0</v>
      </c>
      <c r="J17" s="288">
        <v>20</v>
      </c>
      <c r="K17" s="205"/>
      <c r="L17" s="205"/>
      <c r="M17" s="1248"/>
      <c r="N17" s="292" t="s">
        <v>42</v>
      </c>
      <c r="O17" s="293">
        <v>0.18</v>
      </c>
      <c r="P17" s="294">
        <v>0.1</v>
      </c>
      <c r="Q17" s="380"/>
    </row>
    <row r="18" spans="1:17" s="210" customFormat="1" ht="12.75" customHeight="1" thickBot="1" x14ac:dyDescent="0.25">
      <c r="A18" s="201"/>
      <c r="B18" s="1151" t="s">
        <v>43</v>
      </c>
      <c r="C18" s="1155"/>
      <c r="D18" s="1152"/>
      <c r="E18" s="434"/>
      <c r="F18" s="287">
        <v>0</v>
      </c>
      <c r="G18" s="281"/>
      <c r="H18" s="296" t="s">
        <v>44</v>
      </c>
      <c r="I18" s="785">
        <f>IF($H$20&gt;100.001,"X",)</f>
        <v>0</v>
      </c>
      <c r="J18" s="297">
        <v>30</v>
      </c>
      <c r="K18" s="201"/>
      <c r="L18" s="201"/>
      <c r="M18" s="1248"/>
      <c r="N18" s="208" t="s">
        <v>45</v>
      </c>
      <c r="O18" s="293">
        <v>0.08</v>
      </c>
      <c r="P18" s="294">
        <v>0.08</v>
      </c>
      <c r="Q18" s="380"/>
    </row>
    <row r="19" spans="1:17" s="210" customFormat="1" ht="12.75" customHeight="1" thickBot="1" x14ac:dyDescent="0.25">
      <c r="A19" s="201"/>
      <c r="B19" s="1167" t="s">
        <v>46</v>
      </c>
      <c r="C19" s="1156"/>
      <c r="D19" s="1157"/>
      <c r="E19" s="435"/>
      <c r="F19" s="298">
        <v>0</v>
      </c>
      <c r="G19" s="299"/>
      <c r="H19" s="201" t="s">
        <v>47</v>
      </c>
      <c r="I19" s="201"/>
      <c r="J19" s="371" t="s">
        <v>48</v>
      </c>
      <c r="K19" s="320" t="str">
        <f>VLOOKUP("X",$I$15:$J$18,2,FALSE)</f>
        <v>-</v>
      </c>
      <c r="L19" s="201"/>
      <c r="M19" s="1248"/>
      <c r="N19" s="208" t="s">
        <v>49</v>
      </c>
      <c r="O19" s="293">
        <v>0.08</v>
      </c>
      <c r="P19" s="294">
        <v>0.08</v>
      </c>
      <c r="Q19" s="310"/>
    </row>
    <row r="20" spans="1:17" s="210" customFormat="1" ht="12.75" customHeight="1" thickBot="1" x14ac:dyDescent="0.25">
      <c r="A20" s="201"/>
      <c r="B20" s="201"/>
      <c r="C20" s="201"/>
      <c r="D20" s="301" t="s">
        <v>50</v>
      </c>
      <c r="E20" s="795">
        <f>SUM(E15:E19)</f>
        <v>0</v>
      </c>
      <c r="F20" s="788">
        <f>SUM(F15:F19)</f>
        <v>0</v>
      </c>
      <c r="G20" s="302"/>
      <c r="H20" s="789">
        <f>IF(ISERROR(E20/E11*100),,(E20/E11*100))</f>
        <v>0</v>
      </c>
      <c r="I20" s="201" t="s">
        <v>18</v>
      </c>
      <c r="J20" s="201"/>
      <c r="K20" s="201"/>
      <c r="L20" s="201"/>
      <c r="M20" s="1249"/>
      <c r="N20" s="303" t="s">
        <v>51</v>
      </c>
      <c r="O20" s="304">
        <v>0.08</v>
      </c>
      <c r="P20" s="305">
        <v>0.08</v>
      </c>
      <c r="Q20" s="202"/>
    </row>
    <row r="21" spans="1:17" ht="12.75" customHeight="1" x14ac:dyDescent="0.2">
      <c r="A21" s="201"/>
      <c r="B21" s="201"/>
      <c r="C21" s="201"/>
      <c r="D21" s="201"/>
      <c r="E21" s="201"/>
      <c r="F21" s="201"/>
      <c r="G21" s="201"/>
      <c r="H21" s="201"/>
      <c r="I21" s="201"/>
      <c r="J21" s="201"/>
      <c r="K21" s="201"/>
      <c r="L21" s="201"/>
      <c r="M21" s="201"/>
      <c r="N21" s="201"/>
      <c r="O21" s="201"/>
      <c r="P21" s="201"/>
      <c r="Q21" s="202"/>
    </row>
    <row r="22" spans="1:17" ht="12.75" customHeight="1" thickBot="1" x14ac:dyDescent="0.25">
      <c r="A22" s="201"/>
      <c r="B22" s="201"/>
      <c r="C22" s="201"/>
      <c r="D22" s="201"/>
      <c r="E22" s="201"/>
      <c r="F22" s="306"/>
      <c r="G22" s="201"/>
      <c r="H22" s="321" t="s">
        <v>52</v>
      </c>
      <c r="I22" s="201"/>
      <c r="J22" s="201"/>
      <c r="K22" s="201"/>
      <c r="L22" s="201"/>
      <c r="M22" s="201"/>
      <c r="N22" s="201"/>
      <c r="O22" s="201"/>
      <c r="P22" s="201"/>
      <c r="Q22" s="202"/>
    </row>
    <row r="23" spans="1:17" ht="12.75" customHeight="1" thickBot="1" x14ac:dyDescent="0.25">
      <c r="A23" s="201"/>
      <c r="B23" s="1205" t="s">
        <v>53</v>
      </c>
      <c r="C23" s="1159"/>
      <c r="D23" s="1207"/>
      <c r="E23" s="339"/>
      <c r="F23" s="278"/>
      <c r="G23" s="340"/>
      <c r="H23" s="341" t="s">
        <v>54</v>
      </c>
      <c r="I23" s="252" t="s">
        <v>16</v>
      </c>
      <c r="J23" s="342" t="s">
        <v>25</v>
      </c>
      <c r="K23" s="205"/>
      <c r="L23" s="1216" t="s">
        <v>56</v>
      </c>
      <c r="M23" s="1216"/>
      <c r="N23" s="1216"/>
      <c r="O23" s="1216"/>
      <c r="P23" s="1216"/>
      <c r="Q23" s="202"/>
    </row>
    <row r="24" spans="1:17" s="203" customFormat="1" ht="12.75" customHeight="1" x14ac:dyDescent="0.2">
      <c r="A24" s="201"/>
      <c r="B24" s="1151" t="s">
        <v>108</v>
      </c>
      <c r="C24" s="1155"/>
      <c r="D24" s="1152"/>
      <c r="E24" s="661"/>
      <c r="F24" s="796">
        <f>F11</f>
        <v>0</v>
      </c>
      <c r="G24" s="344"/>
      <c r="H24" s="282" t="s">
        <v>55</v>
      </c>
      <c r="I24" s="790" t="str">
        <f>IF(COUNTIF($L$24:$L$28,"x")=0,"X",)</f>
        <v>X</v>
      </c>
      <c r="J24" s="311" t="s">
        <v>148</v>
      </c>
      <c r="K24" s="205"/>
      <c r="L24" s="509" t="s">
        <v>57</v>
      </c>
      <c r="M24" s="1196" t="s">
        <v>58</v>
      </c>
      <c r="N24" s="1242"/>
      <c r="O24" s="1242"/>
      <c r="P24" s="1243"/>
      <c r="Q24" s="310"/>
    </row>
    <row r="25" spans="1:17" s="244" customFormat="1" ht="12.75" customHeight="1" x14ac:dyDescent="0.2">
      <c r="A25" s="201"/>
      <c r="B25" s="1151" t="s">
        <v>109</v>
      </c>
      <c r="C25" s="1155"/>
      <c r="D25" s="1152"/>
      <c r="E25" s="661"/>
      <c r="F25" s="796">
        <f>F20</f>
        <v>0</v>
      </c>
      <c r="G25" s="344"/>
      <c r="H25" s="282">
        <v>1</v>
      </c>
      <c r="I25" s="790">
        <f>IF(COUNTIF($L$24:$L$28,"x")=1,"X",)</f>
        <v>0</v>
      </c>
      <c r="J25" s="288">
        <v>10</v>
      </c>
      <c r="K25" s="205"/>
      <c r="L25" s="436" t="s">
        <v>57</v>
      </c>
      <c r="M25" s="1250" t="s">
        <v>59</v>
      </c>
      <c r="N25" s="1155"/>
      <c r="O25" s="1155"/>
      <c r="P25" s="1251"/>
      <c r="Q25" s="201"/>
    </row>
    <row r="26" spans="1:17" s="244" customFormat="1" ht="12.75" customHeight="1" x14ac:dyDescent="0.2">
      <c r="A26" s="201"/>
      <c r="B26" s="1151" t="s">
        <v>110</v>
      </c>
      <c r="C26" s="1155"/>
      <c r="D26" s="1152"/>
      <c r="E26" s="797">
        <f>60%*E25</f>
        <v>0</v>
      </c>
      <c r="F26" s="796">
        <f>F20*0.6</f>
        <v>0</v>
      </c>
      <c r="G26" s="344"/>
      <c r="H26" s="282">
        <v>2</v>
      </c>
      <c r="I26" s="790">
        <f>IF(COUNTIF($L$24:$L$28,"x")=2,"X",)</f>
        <v>0</v>
      </c>
      <c r="J26" s="288">
        <v>20</v>
      </c>
      <c r="K26" s="205"/>
      <c r="L26" s="436" t="s">
        <v>57</v>
      </c>
      <c r="M26" s="1252" t="s">
        <v>60</v>
      </c>
      <c r="N26" s="1253"/>
      <c r="O26" s="1253"/>
      <c r="P26" s="1254"/>
      <c r="Q26" s="201"/>
    </row>
    <row r="27" spans="1:17" s="244" customFormat="1" ht="12.75" customHeight="1" thickBot="1" x14ac:dyDescent="0.25">
      <c r="A27" s="201"/>
      <c r="B27" s="1151" t="s">
        <v>111</v>
      </c>
      <c r="C27" s="1155"/>
      <c r="D27" s="1152"/>
      <c r="E27" s="798">
        <f>SUM(E24,E26)</f>
        <v>0</v>
      </c>
      <c r="F27" s="343"/>
      <c r="G27" s="345"/>
      <c r="H27" s="282">
        <v>3</v>
      </c>
      <c r="I27" s="790">
        <f>IF(COUNTIF($L$24:$L$28,"x")=3,"X",)</f>
        <v>0</v>
      </c>
      <c r="J27" s="288">
        <v>30</v>
      </c>
      <c r="K27" s="201"/>
      <c r="L27" s="436" t="s">
        <v>57</v>
      </c>
      <c r="M27" s="1250" t="s">
        <v>272</v>
      </c>
      <c r="N27" s="1155"/>
      <c r="O27" s="1155"/>
      <c r="P27" s="1251"/>
      <c r="Q27" s="201"/>
    </row>
    <row r="28" spans="1:17" s="244" customFormat="1" ht="12.75" customHeight="1" thickBot="1" x14ac:dyDescent="0.25">
      <c r="A28" s="201"/>
      <c r="B28" s="1167"/>
      <c r="C28" s="1156"/>
      <c r="D28" s="1157"/>
      <c r="E28" s="381"/>
      <c r="F28" s="788">
        <f>F24+F26</f>
        <v>0</v>
      </c>
      <c r="G28" s="344"/>
      <c r="H28" s="282">
        <v>4</v>
      </c>
      <c r="I28" s="790">
        <f>IF(COUNTIF($L$24:$L$28,"x")=4,"X",)</f>
        <v>0</v>
      </c>
      <c r="J28" s="288">
        <v>40</v>
      </c>
      <c r="K28" s="201"/>
      <c r="L28" s="437" t="s">
        <v>57</v>
      </c>
      <c r="M28" s="1198" t="s">
        <v>61</v>
      </c>
      <c r="N28" s="1156"/>
      <c r="O28" s="1156"/>
      <c r="P28" s="1255"/>
      <c r="Q28" s="201"/>
    </row>
    <row r="29" spans="1:17" s="244" customFormat="1" ht="12.75" customHeight="1" thickBot="1" x14ac:dyDescent="0.25">
      <c r="A29" s="201"/>
      <c r="B29" s="201"/>
      <c r="C29" s="201"/>
      <c r="D29" s="201"/>
      <c r="E29" s="214"/>
      <c r="F29" s="347"/>
      <c r="G29" s="333"/>
      <c r="H29" s="348">
        <v>5</v>
      </c>
      <c r="I29" s="791">
        <f>IF(COUNTIF($L$24:$L$28,"x")=5,"X",)</f>
        <v>0</v>
      </c>
      <c r="J29" s="297">
        <v>50</v>
      </c>
      <c r="K29" s="201"/>
      <c r="Q29" s="201"/>
    </row>
    <row r="30" spans="1:17" s="244" customFormat="1" ht="12.75" customHeight="1" thickBot="1" x14ac:dyDescent="0.25">
      <c r="A30" s="201"/>
      <c r="B30" s="201"/>
      <c r="C30" s="201"/>
      <c r="D30" s="201"/>
      <c r="E30" s="201"/>
      <c r="F30" s="349"/>
      <c r="G30" s="216"/>
      <c r="H30" s="201"/>
      <c r="I30" s="201"/>
      <c r="J30" s="371" t="s">
        <v>62</v>
      </c>
      <c r="K30" s="799" t="str">
        <f>VLOOKUP("X",I24:J29,2,FALSE)</f>
        <v>-</v>
      </c>
      <c r="L30" s="317"/>
      <c r="M30" s="201"/>
      <c r="N30" s="201"/>
      <c r="O30" s="201"/>
      <c r="P30" s="205"/>
      <c r="Q30" s="380"/>
    </row>
    <row r="31" spans="1:17" s="244" customFormat="1" ht="12.75" customHeight="1" thickBot="1" x14ac:dyDescent="0.25">
      <c r="A31" s="201"/>
      <c r="B31" s="1205" t="s">
        <v>63</v>
      </c>
      <c r="C31" s="1159"/>
      <c r="D31" s="1159"/>
      <c r="E31" s="1206"/>
      <c r="F31" s="350"/>
      <c r="G31" s="216"/>
      <c r="H31" s="201"/>
      <c r="I31" s="201"/>
      <c r="J31" s="201"/>
      <c r="K31" s="202" t="s">
        <v>2</v>
      </c>
      <c r="L31" s="201" t="s">
        <v>64</v>
      </c>
      <c r="M31" s="1209" t="s">
        <v>197</v>
      </c>
      <c r="N31" s="1209"/>
      <c r="O31" s="201"/>
      <c r="P31" s="205"/>
      <c r="Q31" s="310"/>
    </row>
    <row r="32" spans="1:17" s="244" customFormat="1" ht="12.75" customHeight="1" thickBot="1" x14ac:dyDescent="0.25">
      <c r="A32" s="201"/>
      <c r="B32" s="1151" t="s">
        <v>112</v>
      </c>
      <c r="C32" s="1155"/>
      <c r="D32" s="1152"/>
      <c r="E32" s="443"/>
      <c r="F32" s="215"/>
      <c r="G32" s="216"/>
      <c r="H32" s="201"/>
      <c r="I32" s="1192" t="s">
        <v>65</v>
      </c>
      <c r="J32" s="1194"/>
      <c r="K32" s="800">
        <f>SUM(K30,K19,K11)</f>
        <v>0</v>
      </c>
      <c r="L32" s="801" t="str">
        <f>IF(CCSF_DettContCostoCost_SommaIncrementi=0,"I",IF(ISERROR(MATCH(CCSF_DettContCostoCost_SommaIncrementi,Parametri_MinClassi,1))=TRUE,INDEX(Parametri_Classi,1,1),INDEX(Parametri_Classi,MATCH(CCSF_DettContCostoCost_SommaIncrementi,Parametri_MinClassi,1),1)))</f>
        <v>I</v>
      </c>
      <c r="M32" s="1240">
        <f>IF(CCSF_DettContCostoCost_SommaIncrementi=0,0,IF(ISERROR(MATCH(CCSF_DettContCostoCost_SommaIncrementi,Parametri_MinClassi,1))=TRUE,INDEX(Parametri_Classi,1,4),INDEX(Parametri_Classi,MATCH(CCSF_DettContCostoCost_SommaIncrementi,Parametri_MinClassi,1),4)))</f>
        <v>0</v>
      </c>
      <c r="N32" s="1241"/>
      <c r="O32" s="201"/>
      <c r="P32" s="205"/>
      <c r="Q32" s="310"/>
    </row>
    <row r="33" spans="1:17" s="244" customFormat="1" ht="12.75" customHeight="1" thickBot="1" x14ac:dyDescent="0.25">
      <c r="A33" s="201"/>
      <c r="B33" s="1151" t="s">
        <v>113</v>
      </c>
      <c r="C33" s="1155"/>
      <c r="D33" s="1152"/>
      <c r="E33" s="443"/>
      <c r="F33" s="215"/>
      <c r="G33" s="216"/>
      <c r="H33" s="201"/>
      <c r="I33" s="201"/>
      <c r="J33" s="201"/>
      <c r="K33" s="201"/>
      <c r="L33" s="201"/>
      <c r="M33" s="201"/>
      <c r="N33" s="201"/>
      <c r="O33" s="201"/>
      <c r="P33" s="205"/>
      <c r="Q33" s="201"/>
    </row>
    <row r="34" spans="1:17" s="244" customFormat="1" ht="12.75" customHeight="1" thickBot="1" x14ac:dyDescent="0.25">
      <c r="A34" s="201"/>
      <c r="B34" s="1151" t="s">
        <v>114</v>
      </c>
      <c r="C34" s="1155"/>
      <c r="D34" s="1152"/>
      <c r="E34" s="802">
        <f>E33*0.6</f>
        <v>0</v>
      </c>
      <c r="F34" s="794">
        <f>F33*0.6</f>
        <v>0</v>
      </c>
      <c r="G34" s="216"/>
      <c r="H34" s="201"/>
      <c r="I34" s="1192" t="s">
        <v>66</v>
      </c>
      <c r="J34" s="1193"/>
      <c r="K34" s="1194"/>
      <c r="L34" s="804">
        <f>IF(Cc_Modalitacalcolo="Calcolo costo costruzione",E27+E35,0)</f>
        <v>0</v>
      </c>
      <c r="M34" s="201" t="s">
        <v>67</v>
      </c>
      <c r="N34" s="201"/>
      <c r="O34" s="201"/>
      <c r="P34" s="205"/>
      <c r="Q34" s="201"/>
    </row>
    <row r="35" spans="1:17" s="244" customFormat="1" ht="12.75" customHeight="1" thickBot="1" x14ac:dyDescent="0.25">
      <c r="A35" s="201"/>
      <c r="B35" s="1167" t="s">
        <v>115</v>
      </c>
      <c r="C35" s="1156"/>
      <c r="D35" s="1157"/>
      <c r="E35" s="803">
        <f>E32+E34</f>
        <v>0</v>
      </c>
      <c r="F35" s="217">
        <v>0</v>
      </c>
      <c r="G35" s="216"/>
      <c r="H35" s="201"/>
      <c r="I35" s="201" t="s">
        <v>94</v>
      </c>
      <c r="J35" s="201"/>
      <c r="K35" s="201"/>
      <c r="L35" s="351">
        <f>L34</f>
        <v>0</v>
      </c>
      <c r="M35" s="201"/>
      <c r="N35" s="201"/>
      <c r="O35" s="201"/>
      <c r="P35" s="201"/>
      <c r="Q35" s="201"/>
    </row>
    <row r="36" spans="1:17" s="244" customFormat="1" ht="12.75" customHeight="1" thickBot="1" x14ac:dyDescent="0.25">
      <c r="A36" s="201"/>
      <c r="B36" s="241"/>
      <c r="C36" s="200"/>
      <c r="D36" s="200"/>
      <c r="E36" s="200"/>
      <c r="F36" s="788">
        <f>F32+F34</f>
        <v>0</v>
      </c>
      <c r="G36" s="216"/>
      <c r="H36" s="201"/>
      <c r="I36" s="201" t="s">
        <v>74</v>
      </c>
      <c r="J36" s="201"/>
      <c r="K36" s="201"/>
      <c r="L36" s="201"/>
      <c r="M36" s="201"/>
      <c r="N36" s="201"/>
      <c r="O36" s="201"/>
      <c r="P36" s="201"/>
      <c r="Q36" s="201"/>
    </row>
    <row r="37" spans="1:17" s="244" customFormat="1" ht="12.75" customHeight="1" x14ac:dyDescent="0.2">
      <c r="A37" s="201"/>
      <c r="B37" s="201"/>
      <c r="C37" s="382"/>
      <c r="D37" s="201"/>
      <c r="E37" s="201"/>
      <c r="F37" s="218"/>
      <c r="G37" s="216"/>
      <c r="H37" s="201"/>
      <c r="I37" s="1199" t="s">
        <v>124</v>
      </c>
      <c r="J37" s="1200"/>
      <c r="K37" s="1196" t="s">
        <v>68</v>
      </c>
      <c r="L37" s="1197"/>
      <c r="M37" s="338" t="s">
        <v>205</v>
      </c>
      <c r="N37" s="1238">
        <v>0</v>
      </c>
      <c r="O37" s="1239"/>
      <c r="P37" s="201"/>
      <c r="Q37" s="201"/>
    </row>
    <row r="38" spans="1:17" s="244" customFormat="1" ht="12.75" customHeight="1" thickBot="1" x14ac:dyDescent="0.25">
      <c r="A38" s="201"/>
      <c r="B38" s="201"/>
      <c r="C38" s="382"/>
      <c r="D38" s="201"/>
      <c r="E38" s="201"/>
      <c r="F38" s="218"/>
      <c r="G38" s="216"/>
      <c r="H38" s="201"/>
      <c r="I38" s="1201"/>
      <c r="J38" s="1202"/>
      <c r="K38" s="1198" t="s">
        <v>69</v>
      </c>
      <c r="L38" s="1157"/>
      <c r="M38" s="353" t="s">
        <v>206</v>
      </c>
      <c r="N38" s="1230"/>
      <c r="O38" s="1231"/>
      <c r="P38" s="201"/>
      <c r="Q38" s="201"/>
    </row>
    <row r="39" spans="1:17" s="244" customFormat="1" ht="12.75" customHeight="1" thickBot="1" x14ac:dyDescent="0.25">
      <c r="B39" s="1195" t="s">
        <v>201</v>
      </c>
      <c r="C39" s="1195"/>
      <c r="D39" s="1195"/>
      <c r="E39" s="1195"/>
      <c r="F39" s="1195"/>
      <c r="G39" s="1195"/>
      <c r="H39" s="1195"/>
      <c r="I39" s="220"/>
      <c r="J39" s="221"/>
      <c r="K39" s="201"/>
      <c r="L39" s="201"/>
      <c r="M39" s="201"/>
      <c r="N39" s="224"/>
      <c r="O39" s="225"/>
      <c r="P39" s="201"/>
      <c r="Q39" s="201"/>
    </row>
    <row r="40" spans="1:17" s="244" customFormat="1" ht="12.75" customHeight="1" thickBot="1" x14ac:dyDescent="0.25">
      <c r="B40" s="1169" t="s">
        <v>229</v>
      </c>
      <c r="C40" s="1169"/>
      <c r="D40" s="1169"/>
      <c r="E40" s="1169"/>
      <c r="F40" s="233"/>
      <c r="G40" s="216"/>
      <c r="H40" s="220"/>
      <c r="I40" s="220"/>
      <c r="J40" s="322"/>
      <c r="K40" s="322"/>
      <c r="L40" s="322"/>
      <c r="M40" s="231"/>
      <c r="N40" s="1236">
        <f>IF(DettaglioCostoCostruz_TipoIntervento="Nuova costruzione",CostoBase_NuovaEdif,CostoBase_Ristrutturaz)</f>
        <v>416.43</v>
      </c>
      <c r="O40" s="1237"/>
      <c r="P40" s="201"/>
      <c r="Q40" s="201"/>
    </row>
    <row r="41" spans="1:17" s="244" customFormat="1" ht="12.75" customHeight="1" thickBot="1" x14ac:dyDescent="0.25">
      <c r="B41" s="1169" t="s">
        <v>230</v>
      </c>
      <c r="C41" s="1169"/>
      <c r="D41" s="1169"/>
      <c r="E41" s="1169"/>
      <c r="F41" s="233"/>
      <c r="G41" s="216"/>
      <c r="H41" s="323"/>
      <c r="I41" s="323"/>
      <c r="J41" s="323"/>
      <c r="K41" s="323"/>
      <c r="L41" s="323"/>
      <c r="M41" s="231"/>
      <c r="N41" s="1236">
        <f>N40*(1+M32/100)</f>
        <v>416.43</v>
      </c>
      <c r="O41" s="1237"/>
      <c r="P41" s="201"/>
      <c r="Q41" s="201"/>
    </row>
    <row r="42" spans="1:17" s="244" customFormat="1" ht="12.75" customHeight="1" thickBot="1" x14ac:dyDescent="0.25">
      <c r="B42" s="1169" t="s">
        <v>125</v>
      </c>
      <c r="C42" s="1169"/>
      <c r="D42" s="1169"/>
      <c r="E42" s="1169"/>
      <c r="F42" s="233"/>
      <c r="G42" s="216"/>
      <c r="H42" s="323"/>
      <c r="I42" s="323"/>
      <c r="J42" s="323"/>
      <c r="K42" s="323"/>
      <c r="L42" s="323"/>
      <c r="M42" s="231"/>
      <c r="N42" s="1236">
        <f>L35*N41</f>
        <v>0</v>
      </c>
      <c r="O42" s="1237"/>
      <c r="P42" s="201"/>
      <c r="Q42" s="201"/>
    </row>
    <row r="43" spans="1:17" s="244" customFormat="1" ht="12.75" customHeight="1" thickBot="1" x14ac:dyDescent="0.25">
      <c r="B43" s="1195" t="s">
        <v>202</v>
      </c>
      <c r="C43" s="1195"/>
      <c r="D43" s="1195"/>
      <c r="E43" s="1195"/>
      <c r="F43" s="233"/>
      <c r="G43" s="216"/>
      <c r="H43" s="220"/>
      <c r="I43" s="220"/>
      <c r="J43" s="220"/>
      <c r="K43" s="202" t="s">
        <v>132</v>
      </c>
      <c r="L43" s="220"/>
      <c r="M43" s="220"/>
      <c r="N43" s="383"/>
      <c r="O43" s="384"/>
      <c r="P43" s="201"/>
      <c r="Q43" s="201"/>
    </row>
    <row r="44" spans="1:17" s="244" customFormat="1" ht="12.75" customHeight="1" thickBot="1" x14ac:dyDescent="0.25">
      <c r="B44" s="1169" t="s">
        <v>126</v>
      </c>
      <c r="C44" s="1169"/>
      <c r="D44" s="1169"/>
      <c r="E44" s="1169"/>
      <c r="F44" s="233"/>
      <c r="G44" s="216"/>
      <c r="H44" s="230" t="s">
        <v>70</v>
      </c>
      <c r="I44" s="220"/>
      <c r="J44" s="220"/>
      <c r="K44" s="805">
        <f>IF(ISERROR(MATCH(CCSF_DettContCostoCost_SommaIncrementi,Parametri_MinClassi,1))=TRUE,INDEX(Parametri_Classi,1,IF(DettaglioCostoCostruz_TipoIntervento="Ristrutturazione",6,5)),INDEX(Parametri_Classi,MATCH(CCSF_DettContCostoCost_SommaIncrementi,Parametri_MinClassi,1),IF(DettaglioCostoCostruz_TipoIntervento="Ristrutturazione",6,5)))</f>
        <v>5</v>
      </c>
      <c r="L44" s="385" t="s">
        <v>31</v>
      </c>
      <c r="M44" s="231"/>
      <c r="N44" s="1236">
        <f>N42*K44/100</f>
        <v>0</v>
      </c>
      <c r="O44" s="1237"/>
      <c r="P44" s="201"/>
      <c r="Q44" s="201" t="s">
        <v>71</v>
      </c>
    </row>
    <row r="45" spans="1:17" s="244" customFormat="1" ht="12.75" customHeight="1" thickBot="1" x14ac:dyDescent="0.25">
      <c r="B45" s="1169" t="s">
        <v>127</v>
      </c>
      <c r="C45" s="1169"/>
      <c r="D45" s="1169"/>
      <c r="E45" s="1169"/>
      <c r="F45" s="233"/>
      <c r="G45" s="216"/>
      <c r="H45" s="230" t="s">
        <v>72</v>
      </c>
      <c r="I45" s="220"/>
      <c r="J45" s="220"/>
      <c r="K45" s="805">
        <f>IF(ISERROR(MATCH(CCSF_DettContCostoCost_SommaIncrementi,Parametri_MinClassi,1))=TRUE,INDEX(Parametri_Classi,1,IF(DettaglioCostoCostruz_TipoIntervento="Ristrutturazione",6,5)),INDEX(Parametri_Classi,MATCH(CCSF_DettContCostoCost_SommaIncrementi,Parametri_MinClassi,1),IF(DettaglioCostoCostruz_TipoIntervento="Ristrutturazione",6,5)))</f>
        <v>5</v>
      </c>
      <c r="L45" s="386" t="s">
        <v>31</v>
      </c>
      <c r="M45" s="231"/>
      <c r="N45" s="1236">
        <f>N37*K45/100</f>
        <v>0</v>
      </c>
      <c r="O45" s="1237"/>
      <c r="P45" s="201"/>
      <c r="Q45" s="205"/>
    </row>
    <row r="46" spans="1:17" s="244" customFormat="1" ht="12.75" customHeight="1" thickBot="1" x14ac:dyDescent="0.25">
      <c r="B46" s="1169" t="s">
        <v>128</v>
      </c>
      <c r="C46" s="1169"/>
      <c r="D46" s="1169"/>
      <c r="E46" s="1169"/>
      <c r="F46" s="233"/>
      <c r="G46" s="216"/>
      <c r="H46" s="230" t="s">
        <v>73</v>
      </c>
      <c r="I46" s="220"/>
      <c r="J46" s="221"/>
      <c r="K46" s="806">
        <f>IF(DettaglioCostoCostruz_TipoIntervento="Nuova costruzione",Parametri_Aliquota_terziario_nuova_costr,Parametri_Aliquota_terziario_ristrutt)</f>
        <v>0.1</v>
      </c>
      <c r="L46" s="386" t="s">
        <v>31</v>
      </c>
      <c r="M46" s="231"/>
      <c r="N46" s="1236">
        <f>N38*K46</f>
        <v>0</v>
      </c>
      <c r="O46" s="1237"/>
      <c r="P46" s="201"/>
      <c r="Q46" s="205"/>
    </row>
    <row r="47" spans="1:17" s="210" customFormat="1" ht="12.75" customHeight="1" thickBot="1" x14ac:dyDescent="0.25">
      <c r="B47" s="1175" t="s">
        <v>129</v>
      </c>
      <c r="C47" s="1175"/>
      <c r="D47" s="1175"/>
      <c r="E47" s="1175"/>
      <c r="F47" s="216"/>
      <c r="G47" s="216"/>
      <c r="H47" s="322"/>
      <c r="I47" s="322"/>
      <c r="J47" s="322"/>
      <c r="K47" s="322"/>
      <c r="L47" s="322" t="s">
        <v>31</v>
      </c>
      <c r="M47" s="231"/>
      <c r="N47" s="1236">
        <f>N44+N45+N46</f>
        <v>0</v>
      </c>
      <c r="O47" s="1237"/>
      <c r="P47" s="201"/>
      <c r="Q47" s="201"/>
    </row>
    <row r="48" spans="1:17" s="210" customFormat="1" ht="12.75" customHeight="1" thickBot="1" x14ac:dyDescent="0.25">
      <c r="B48" s="1195" t="s">
        <v>203</v>
      </c>
      <c r="C48" s="1195"/>
      <c r="D48" s="1195"/>
      <c r="E48" s="1195"/>
      <c r="F48" s="358"/>
      <c r="G48" s="358"/>
      <c r="H48" s="220"/>
      <c r="I48" s="220"/>
      <c r="J48" s="220"/>
      <c r="K48" s="220"/>
      <c r="L48" s="220"/>
      <c r="M48" s="220"/>
      <c r="N48" s="387"/>
      <c r="O48" s="384"/>
      <c r="P48" s="201"/>
      <c r="Q48" s="205"/>
    </row>
    <row r="49" spans="1:17" s="210" customFormat="1" ht="12.75" customHeight="1" thickBot="1" x14ac:dyDescent="0.25">
      <c r="B49" s="1169" t="s">
        <v>130</v>
      </c>
      <c r="C49" s="1169"/>
      <c r="D49" s="1169"/>
      <c r="E49" s="1169"/>
      <c r="F49" s="358"/>
      <c r="G49" s="358"/>
      <c r="H49" s="322"/>
      <c r="I49" s="322"/>
      <c r="J49" s="322"/>
      <c r="K49" s="322"/>
      <c r="L49" s="322"/>
      <c r="M49" s="231"/>
      <c r="N49" s="1232"/>
      <c r="O49" s="1233"/>
      <c r="P49" s="201"/>
      <c r="Q49" s="205"/>
    </row>
    <row r="50" spans="1:17" s="210" customFormat="1" ht="12.75" customHeight="1" thickBot="1" x14ac:dyDescent="0.25">
      <c r="B50" s="1169" t="s">
        <v>131</v>
      </c>
      <c r="C50" s="1169"/>
      <c r="D50" s="1169"/>
      <c r="E50" s="1169"/>
      <c r="F50" s="358"/>
      <c r="G50" s="358"/>
      <c r="H50" s="323"/>
      <c r="I50" s="323"/>
      <c r="J50" s="323"/>
      <c r="K50" s="323"/>
      <c r="L50" s="323"/>
      <c r="M50" s="231"/>
      <c r="N50" s="1232"/>
      <c r="O50" s="1233"/>
      <c r="P50" s="201"/>
      <c r="Q50" s="205"/>
    </row>
    <row r="51" spans="1:17" s="210" customFormat="1" ht="12.75" customHeight="1" thickBot="1" x14ac:dyDescent="0.25">
      <c r="A51" s="244"/>
      <c r="B51" s="244"/>
      <c r="C51" s="230"/>
      <c r="D51" s="230"/>
      <c r="E51" s="230"/>
      <c r="F51" s="368"/>
      <c r="G51" s="368"/>
      <c r="H51" s="275"/>
      <c r="I51" s="275"/>
      <c r="J51" s="275"/>
      <c r="K51" s="205"/>
      <c r="L51" s="205"/>
      <c r="M51" s="205"/>
      <c r="N51" s="205"/>
      <c r="O51" s="205"/>
      <c r="P51" s="201"/>
      <c r="Q51" s="205"/>
    </row>
    <row r="52" spans="1:17" s="327" customFormat="1" ht="15" customHeight="1" thickBot="1" x14ac:dyDescent="0.25">
      <c r="A52" s="389"/>
      <c r="B52" s="1203" t="s">
        <v>99</v>
      </c>
      <c r="C52" s="1203"/>
      <c r="D52" s="1203"/>
      <c r="E52" s="1203"/>
      <c r="F52" s="1203"/>
      <c r="G52" s="1203"/>
      <c r="H52" s="1203"/>
      <c r="I52" s="1203"/>
      <c r="J52" s="1203"/>
      <c r="K52" s="1203"/>
      <c r="L52" s="1203"/>
      <c r="M52" s="1204"/>
      <c r="N52" s="1228">
        <f>N47-N49-N50</f>
        <v>0</v>
      </c>
      <c r="O52" s="1229"/>
      <c r="P52" s="390"/>
      <c r="Q52" s="391"/>
    </row>
    <row r="53" spans="1:17" s="388" customFormat="1" ht="12.75" customHeight="1" x14ac:dyDescent="0.2">
      <c r="A53" s="201"/>
      <c r="B53" s="201"/>
      <c r="C53" s="201"/>
      <c r="D53" s="201"/>
      <c r="E53" s="201"/>
      <c r="F53" s="223"/>
      <c r="G53" s="223"/>
      <c r="H53" s="201"/>
      <c r="I53" s="201"/>
      <c r="J53" s="201"/>
      <c r="K53" s="201"/>
      <c r="L53" s="201"/>
      <c r="M53" s="201"/>
      <c r="N53" s="201"/>
      <c r="O53" s="201"/>
      <c r="P53" s="201"/>
      <c r="Q53" s="205"/>
    </row>
  </sheetData>
  <sheetProtection sheet="1" insertRows="0"/>
  <mergeCells count="72">
    <mergeCell ref="N47:O47"/>
    <mergeCell ref="N12:N14"/>
    <mergeCell ref="N46:O46"/>
    <mergeCell ref="M12:M20"/>
    <mergeCell ref="N40:O40"/>
    <mergeCell ref="N41:O41"/>
    <mergeCell ref="M25:P25"/>
    <mergeCell ref="M26:P26"/>
    <mergeCell ref="M27:P27"/>
    <mergeCell ref="M28:P28"/>
    <mergeCell ref="N37:O37"/>
    <mergeCell ref="N42:O42"/>
    <mergeCell ref="B10:C10"/>
    <mergeCell ref="B26:D26"/>
    <mergeCell ref="M32:N32"/>
    <mergeCell ref="M24:P24"/>
    <mergeCell ref="B35:D35"/>
    <mergeCell ref="I32:J32"/>
    <mergeCell ref="B14:D14"/>
    <mergeCell ref="M9:N11"/>
    <mergeCell ref="B2:C2"/>
    <mergeCell ref="B3:C3"/>
    <mergeCell ref="N52:O52"/>
    <mergeCell ref="N38:O38"/>
    <mergeCell ref="N50:O50"/>
    <mergeCell ref="B6:C6"/>
    <mergeCell ref="B7:C7"/>
    <mergeCell ref="N49:O49"/>
    <mergeCell ref="E15:E16"/>
    <mergeCell ref="B19:D19"/>
    <mergeCell ref="B24:D24"/>
    <mergeCell ref="B25:D25"/>
    <mergeCell ref="N44:O44"/>
    <mergeCell ref="N45:O45"/>
    <mergeCell ref="B1:Q1"/>
    <mergeCell ref="M31:N31"/>
    <mergeCell ref="B8:C8"/>
    <mergeCell ref="B9:C9"/>
    <mergeCell ref="B17:D17"/>
    <mergeCell ref="B18:D18"/>
    <mergeCell ref="P7:P14"/>
    <mergeCell ref="B27:D27"/>
    <mergeCell ref="B28:D28"/>
    <mergeCell ref="B5:C5"/>
    <mergeCell ref="D2:H2"/>
    <mergeCell ref="D3:H3"/>
    <mergeCell ref="L23:P23"/>
    <mergeCell ref="O7:O14"/>
    <mergeCell ref="Q6:Q7"/>
    <mergeCell ref="B15:D16"/>
    <mergeCell ref="B23:D23"/>
    <mergeCell ref="B50:E50"/>
    <mergeCell ref="B39:H39"/>
    <mergeCell ref="B40:E40"/>
    <mergeCell ref="B41:E41"/>
    <mergeCell ref="B42:E42"/>
    <mergeCell ref="B52:M52"/>
    <mergeCell ref="B32:D32"/>
    <mergeCell ref="B33:D33"/>
    <mergeCell ref="B34:D34"/>
    <mergeCell ref="B31:E31"/>
    <mergeCell ref="B49:E49"/>
    <mergeCell ref="K37:L37"/>
    <mergeCell ref="K38:L38"/>
    <mergeCell ref="B43:E43"/>
    <mergeCell ref="B44:E44"/>
    <mergeCell ref="I37:J38"/>
    <mergeCell ref="I34:K34"/>
    <mergeCell ref="B45:E45"/>
    <mergeCell ref="B46:E46"/>
    <mergeCell ref="B47:E47"/>
    <mergeCell ref="B48:E48"/>
  </mergeCells>
  <dataValidations count="3">
    <dataValidation type="list" allowBlank="1" showInputMessage="1" showErrorMessage="1" sqref="D2" xr:uid="{00000000-0002-0000-0700-000000000000}">
      <formula1>"Nuova costruzione,Ristrutturazione"</formula1>
    </dataValidation>
    <dataValidation type="list" allowBlank="1" showInputMessage="1" showErrorMessage="1" sqref="D3:H3" xr:uid="{00000000-0002-0000-0700-000001000000}">
      <formula1>"Calcolo costo costruzione,Calcolo classe"</formula1>
    </dataValidation>
    <dataValidation type="list" allowBlank="1" showInputMessage="1" showErrorMessage="1" sqref="L24:L28" xr:uid="{00000000-0002-0000-0700-000002000000}">
      <formula1>opzioni</formula1>
    </dataValidation>
  </dataValidations>
  <hyperlinks>
    <hyperlink ref="Q6:Q7" location="'Procedura guidata'!A1" display="Torna alla procedura guidata!" xr:uid="{00000000-0004-0000-0700-000000000000}"/>
  </hyperlinks>
  <pageMargins left="0.25" right="0.25" top="0.75" bottom="0.75" header="0.3" footer="0.3"/>
  <pageSetup paperSize="9" scale="84"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5">
    <tabColor rgb="FFFFFF66"/>
    <pageSetUpPr fitToPage="1"/>
  </sheetPr>
  <dimension ref="A1:AC53"/>
  <sheetViews>
    <sheetView showGridLines="0" showZeros="0" workbookViewId="0"/>
  </sheetViews>
  <sheetFormatPr defaultColWidth="0" defaultRowHeight="12.75" zeroHeight="1" x14ac:dyDescent="0.2"/>
  <cols>
    <col min="1" max="1" width="5.7109375" style="204" customWidth="1"/>
    <col min="2" max="2" width="9.5703125" style="203" customWidth="1"/>
    <col min="3" max="3" width="6.7109375" style="203" customWidth="1"/>
    <col min="4" max="5" width="10.7109375" style="203" customWidth="1"/>
    <col min="6" max="6" width="1.42578125" style="204" hidden="1" customWidth="1"/>
    <col min="7" max="7" width="5.42578125" style="204" hidden="1" customWidth="1"/>
    <col min="8" max="8" width="10.7109375" style="204" customWidth="1"/>
    <col min="9" max="9" width="5.7109375" style="204" customWidth="1"/>
    <col min="10" max="10" width="10.7109375" style="204" customWidth="1"/>
    <col min="11" max="11" width="6.7109375" style="376" customWidth="1"/>
    <col min="12" max="12" width="9" style="203" customWidth="1"/>
    <col min="13" max="13" width="3.7109375" style="203" customWidth="1"/>
    <col min="14" max="14" width="16.7109375" style="204" customWidth="1"/>
    <col min="15" max="15" width="5.7109375" style="204" customWidth="1"/>
    <col min="16" max="16" width="5.7109375" style="203" customWidth="1"/>
    <col min="17" max="17" width="18.7109375" style="203" customWidth="1"/>
    <col min="18" max="18" width="6.28515625" style="204" hidden="1" customWidth="1"/>
    <col min="19" max="19" width="13.42578125" style="204" hidden="1" customWidth="1"/>
    <col min="20" max="20" width="4.42578125" style="204" hidden="1" customWidth="1"/>
    <col min="21" max="21" width="3.7109375" style="204" hidden="1" customWidth="1"/>
    <col min="22" max="22" width="8.42578125" style="204" hidden="1" customWidth="1"/>
    <col min="23" max="23" width="6.7109375" style="204" hidden="1" customWidth="1"/>
    <col min="24" max="24" width="9.42578125" style="204" hidden="1" customWidth="1"/>
    <col min="25" max="25" width="4.7109375" style="204" hidden="1" customWidth="1"/>
    <col min="26" max="26" width="3.5703125" style="204" hidden="1" customWidth="1"/>
    <col min="27" max="27" width="12.42578125" style="204" hidden="1" customWidth="1"/>
    <col min="28" max="29" width="14.28515625" style="204" hidden="1" customWidth="1"/>
    <col min="30" max="16384" width="9.140625" style="204" hidden="1"/>
  </cols>
  <sheetData>
    <row r="1" spans="2:17" s="210" customFormat="1" ht="15" customHeight="1" thickBot="1" x14ac:dyDescent="0.25">
      <c r="B1" s="1260" t="s">
        <v>209</v>
      </c>
      <c r="C1" s="1260"/>
      <c r="D1" s="1260"/>
      <c r="E1" s="1260"/>
      <c r="F1" s="1260"/>
      <c r="G1" s="1260"/>
      <c r="H1" s="1260"/>
      <c r="I1" s="1260"/>
      <c r="J1" s="1260"/>
      <c r="K1" s="1260"/>
      <c r="L1" s="1260"/>
      <c r="M1" s="1260"/>
      <c r="N1" s="1260"/>
      <c r="O1" s="1260"/>
      <c r="P1" s="1260"/>
      <c r="Q1" s="246"/>
    </row>
    <row r="2" spans="2:17" s="210" customFormat="1" ht="12.75" customHeight="1" thickBot="1" x14ac:dyDescent="0.25">
      <c r="B2" s="1226" t="s">
        <v>102</v>
      </c>
      <c r="C2" s="1227"/>
      <c r="D2" s="1261" t="s">
        <v>0</v>
      </c>
      <c r="E2" s="1262"/>
      <c r="F2" s="1262"/>
      <c r="G2" s="1262"/>
      <c r="H2" s="1263"/>
      <c r="I2" s="256"/>
      <c r="J2" s="256"/>
      <c r="K2" s="370"/>
      <c r="L2" s="256"/>
      <c r="M2" s="256"/>
      <c r="N2" s="256"/>
      <c r="O2" s="256"/>
      <c r="P2" s="256"/>
      <c r="Q2" s="257"/>
    </row>
    <row r="3" spans="2:17" s="210" customFormat="1" ht="12.75" customHeight="1" thickBot="1" x14ac:dyDescent="0.25">
      <c r="B3" s="1226" t="s">
        <v>120</v>
      </c>
      <c r="C3" s="1227"/>
      <c r="D3" s="1261" t="s">
        <v>251</v>
      </c>
      <c r="E3" s="1262"/>
      <c r="F3" s="1262"/>
      <c r="G3" s="1262"/>
      <c r="H3" s="1263"/>
      <c r="I3" s="256"/>
      <c r="J3" s="256"/>
      <c r="K3" s="370"/>
      <c r="L3" s="256"/>
      <c r="M3" s="256"/>
      <c r="N3" s="256"/>
      <c r="O3" s="256"/>
      <c r="P3" s="256"/>
      <c r="Q3" s="257"/>
    </row>
    <row r="4" spans="2:17" s="210" customFormat="1" ht="12.75" customHeight="1" thickBot="1" x14ac:dyDescent="0.25">
      <c r="B4" s="321" t="s">
        <v>19</v>
      </c>
      <c r="C4" s="220"/>
      <c r="D4" s="201"/>
      <c r="E4" s="201"/>
      <c r="F4" s="331" t="s">
        <v>20</v>
      </c>
      <c r="G4" s="223"/>
      <c r="H4" s="201"/>
      <c r="I4" s="201"/>
      <c r="J4" s="201"/>
      <c r="K4" s="371"/>
      <c r="L4" s="201"/>
      <c r="M4" s="201"/>
      <c r="N4" s="201"/>
      <c r="O4" s="201"/>
      <c r="P4" s="201"/>
      <c r="Q4" s="244"/>
    </row>
    <row r="5" spans="2:17" ht="12.75" customHeight="1" x14ac:dyDescent="0.2">
      <c r="B5" s="1116" t="s">
        <v>21</v>
      </c>
      <c r="C5" s="1118"/>
      <c r="D5" s="252" t="s">
        <v>106</v>
      </c>
      <c r="E5" s="252" t="s">
        <v>105</v>
      </c>
      <c r="F5" s="252" t="s">
        <v>22</v>
      </c>
      <c r="G5" s="276"/>
      <c r="H5" s="251" t="s">
        <v>23</v>
      </c>
      <c r="I5" s="252" t="s">
        <v>24</v>
      </c>
      <c r="J5" s="255" t="s">
        <v>25</v>
      </c>
      <c r="K5" s="371"/>
      <c r="L5" s="201"/>
      <c r="M5" s="205"/>
      <c r="N5" s="205"/>
      <c r="O5" s="205"/>
      <c r="P5" s="205"/>
      <c r="Q5" s="257"/>
    </row>
    <row r="6" spans="2:17" ht="12.75" customHeight="1" thickBot="1" x14ac:dyDescent="0.25">
      <c r="B6" s="1151" t="s">
        <v>194</v>
      </c>
      <c r="C6" s="1152"/>
      <c r="D6" s="430"/>
      <c r="E6" s="432"/>
      <c r="F6" s="258"/>
      <c r="G6" s="259"/>
      <c r="H6" s="776">
        <f>IF(E6&gt;0,E6/$E$11,0)</f>
        <v>0</v>
      </c>
      <c r="I6" s="260" t="s">
        <v>26</v>
      </c>
      <c r="J6" s="778">
        <f>H6*I6</f>
        <v>0</v>
      </c>
      <c r="K6" s="371"/>
      <c r="L6" s="201"/>
      <c r="M6" s="205"/>
      <c r="N6" s="205"/>
      <c r="O6" s="205"/>
      <c r="P6" s="205"/>
      <c r="Q6" s="1119" t="s">
        <v>242</v>
      </c>
    </row>
    <row r="7" spans="2:17" s="210" customFormat="1" ht="12.75" customHeight="1" x14ac:dyDescent="0.2">
      <c r="B7" s="1151" t="s">
        <v>195</v>
      </c>
      <c r="C7" s="1152"/>
      <c r="D7" s="430"/>
      <c r="E7" s="432">
        <v>0</v>
      </c>
      <c r="F7" s="258"/>
      <c r="G7" s="259"/>
      <c r="H7" s="776">
        <f>IF(E7&gt;0,E7/$E$11,0)</f>
        <v>0</v>
      </c>
      <c r="I7" s="261">
        <v>5</v>
      </c>
      <c r="J7" s="778">
        <f>H7*I7</f>
        <v>0</v>
      </c>
      <c r="K7" s="371"/>
      <c r="L7" s="262"/>
      <c r="M7" s="201"/>
      <c r="N7" s="201"/>
      <c r="O7" s="1217" t="s">
        <v>4</v>
      </c>
      <c r="P7" s="1210" t="s">
        <v>0</v>
      </c>
      <c r="Q7" s="1119"/>
    </row>
    <row r="8" spans="2:17" s="210" customFormat="1" ht="12.75" customHeight="1" x14ac:dyDescent="0.2">
      <c r="B8" s="1151" t="s">
        <v>27</v>
      </c>
      <c r="C8" s="1152"/>
      <c r="D8" s="430"/>
      <c r="E8" s="432"/>
      <c r="F8" s="258"/>
      <c r="G8" s="259"/>
      <c r="H8" s="776">
        <f>IF(E8&gt;0,E8/$E$11,0)</f>
        <v>0</v>
      </c>
      <c r="I8" s="261">
        <v>15</v>
      </c>
      <c r="J8" s="778">
        <f>H8*I8</f>
        <v>0</v>
      </c>
      <c r="K8" s="371"/>
      <c r="L8" s="201"/>
      <c r="M8" s="201"/>
      <c r="N8" s="201"/>
      <c r="O8" s="1218"/>
      <c r="P8" s="1211"/>
    </row>
    <row r="9" spans="2:17" s="210" customFormat="1" ht="12.75" customHeight="1" x14ac:dyDescent="0.2">
      <c r="B9" s="1151" t="s">
        <v>28</v>
      </c>
      <c r="C9" s="1152"/>
      <c r="D9" s="430"/>
      <c r="E9" s="432"/>
      <c r="F9" s="258"/>
      <c r="G9" s="259"/>
      <c r="H9" s="776">
        <f>IF(E9&gt;0,E9/$E$11,0)</f>
        <v>0</v>
      </c>
      <c r="I9" s="261">
        <v>30</v>
      </c>
      <c r="J9" s="778">
        <f>H9*I9</f>
        <v>0</v>
      </c>
      <c r="K9" s="371"/>
      <c r="L9" s="201"/>
      <c r="M9" s="1222" t="s">
        <v>244</v>
      </c>
      <c r="N9" s="1223"/>
      <c r="O9" s="1218"/>
      <c r="P9" s="1211"/>
    </row>
    <row r="10" spans="2:17" s="210" customFormat="1" ht="12.75" customHeight="1" thickBot="1" x14ac:dyDescent="0.25">
      <c r="B10" s="1167" t="s">
        <v>29</v>
      </c>
      <c r="C10" s="1157"/>
      <c r="D10" s="431"/>
      <c r="E10" s="433"/>
      <c r="F10" s="265"/>
      <c r="G10" s="266"/>
      <c r="H10" s="777">
        <f>IF(E10&gt;0,E10/$E$11,0)</f>
        <v>0</v>
      </c>
      <c r="I10" s="267">
        <v>50</v>
      </c>
      <c r="J10" s="779">
        <f>H10*I10</f>
        <v>0</v>
      </c>
      <c r="K10" s="371"/>
      <c r="L10" s="201"/>
      <c r="M10" s="1222"/>
      <c r="N10" s="1223"/>
      <c r="O10" s="1218"/>
      <c r="P10" s="1211"/>
      <c r="Q10" s="264"/>
    </row>
    <row r="11" spans="2:17" s="210" customFormat="1" ht="12.75" customHeight="1" thickBot="1" x14ac:dyDescent="0.25">
      <c r="B11" s="201"/>
      <c r="C11" s="201"/>
      <c r="D11" s="301" t="s">
        <v>30</v>
      </c>
      <c r="E11" s="807">
        <f>SUM(E6:E10)</f>
        <v>0</v>
      </c>
      <c r="F11" s="332"/>
      <c r="G11" s="333"/>
      <c r="H11" s="201" t="s">
        <v>31</v>
      </c>
      <c r="I11" s="201"/>
      <c r="J11" s="371" t="s">
        <v>32</v>
      </c>
      <c r="K11" s="782" t="str">
        <f>IF(SUM(J6:J10)&gt;0,SUM(J6:J10),"0")</f>
        <v>0</v>
      </c>
      <c r="L11" s="201"/>
      <c r="M11" s="1224"/>
      <c r="N11" s="1225"/>
      <c r="O11" s="1218"/>
      <c r="P11" s="1211"/>
      <c r="Q11" s="264"/>
    </row>
    <row r="12" spans="2:17" s="210" customFormat="1" ht="12.75" customHeight="1" x14ac:dyDescent="0.2">
      <c r="B12" s="201"/>
      <c r="C12" s="201"/>
      <c r="D12" s="201"/>
      <c r="E12" s="334"/>
      <c r="F12" s="334"/>
      <c r="G12" s="334"/>
      <c r="H12" s="201"/>
      <c r="I12" s="201"/>
      <c r="J12" s="201"/>
      <c r="K12" s="371"/>
      <c r="L12" s="205"/>
      <c r="M12" s="1247" t="s">
        <v>87</v>
      </c>
      <c r="N12" s="1244" t="s">
        <v>86</v>
      </c>
      <c r="O12" s="1218"/>
      <c r="P12" s="1211"/>
      <c r="Q12" s="264"/>
    </row>
    <row r="13" spans="2:17" s="210" customFormat="1" ht="12.75" customHeight="1" thickBot="1" x14ac:dyDescent="0.25">
      <c r="B13" s="321" t="s">
        <v>33</v>
      </c>
      <c r="C13" s="220"/>
      <c r="D13" s="201"/>
      <c r="E13" s="334"/>
      <c r="F13" s="306"/>
      <c r="G13" s="334"/>
      <c r="H13" s="321" t="s">
        <v>34</v>
      </c>
      <c r="I13" s="201"/>
      <c r="J13" s="201"/>
      <c r="K13" s="372"/>
      <c r="L13" s="275"/>
      <c r="M13" s="1248"/>
      <c r="N13" s="1245"/>
      <c r="O13" s="1218"/>
      <c r="P13" s="1211"/>
      <c r="Q13" s="264"/>
    </row>
    <row r="14" spans="2:17" s="210" customFormat="1" ht="12.75" customHeight="1" x14ac:dyDescent="0.2">
      <c r="B14" s="1116" t="s">
        <v>198</v>
      </c>
      <c r="C14" s="1117"/>
      <c r="D14" s="1118"/>
      <c r="E14" s="277" t="s">
        <v>35</v>
      </c>
      <c r="F14" s="335"/>
      <c r="G14" s="336"/>
      <c r="H14" s="252" t="s">
        <v>36</v>
      </c>
      <c r="I14" s="252" t="s">
        <v>16</v>
      </c>
      <c r="J14" s="255" t="s">
        <v>25</v>
      </c>
      <c r="K14" s="372"/>
      <c r="L14" s="205"/>
      <c r="M14" s="1248"/>
      <c r="N14" s="1246"/>
      <c r="O14" s="1219"/>
      <c r="P14" s="1212"/>
      <c r="Q14" s="257"/>
    </row>
    <row r="15" spans="2:17" s="210" customFormat="1" ht="12.75" customHeight="1" x14ac:dyDescent="0.2">
      <c r="B15" s="1160" t="s">
        <v>191</v>
      </c>
      <c r="C15" s="1161"/>
      <c r="D15" s="1220"/>
      <c r="E15" s="1234"/>
      <c r="F15" s="280">
        <v>0</v>
      </c>
      <c r="G15" s="281"/>
      <c r="H15" s="282" t="s">
        <v>107</v>
      </c>
      <c r="I15" s="784" t="str">
        <f>IF($H$20&lt;=50,"X",)</f>
        <v>X</v>
      </c>
      <c r="J15" s="283" t="s">
        <v>148</v>
      </c>
      <c r="K15" s="372"/>
      <c r="L15" s="205"/>
      <c r="M15" s="1248"/>
      <c r="N15" s="284" t="s">
        <v>37</v>
      </c>
      <c r="O15" s="285">
        <v>0.06</v>
      </c>
      <c r="P15" s="286">
        <v>0.05</v>
      </c>
      <c r="Q15" s="257"/>
    </row>
    <row r="16" spans="2:17" s="210" customFormat="1" ht="12.75" customHeight="1" x14ac:dyDescent="0.2">
      <c r="B16" s="1162"/>
      <c r="C16" s="1163"/>
      <c r="D16" s="1221"/>
      <c r="E16" s="1235"/>
      <c r="F16" s="287"/>
      <c r="G16" s="281"/>
      <c r="H16" s="282" t="s">
        <v>38</v>
      </c>
      <c r="I16" s="784">
        <f>IF(AND($H$20&lt;=75,$H$20&gt;50.001),"X",)</f>
        <v>0</v>
      </c>
      <c r="J16" s="288">
        <v>10</v>
      </c>
      <c r="K16" s="372"/>
      <c r="L16" s="205"/>
      <c r="M16" s="1248"/>
      <c r="N16" s="208" t="s">
        <v>39</v>
      </c>
      <c r="O16" s="289">
        <v>0.08</v>
      </c>
      <c r="P16" s="286">
        <v>0.06</v>
      </c>
      <c r="Q16" s="290"/>
    </row>
    <row r="17" spans="2:17" s="210" customFormat="1" ht="12.75" customHeight="1" x14ac:dyDescent="0.2">
      <c r="B17" s="1151" t="s">
        <v>40</v>
      </c>
      <c r="C17" s="1155"/>
      <c r="D17" s="1152"/>
      <c r="E17" s="337"/>
      <c r="F17" s="287">
        <v>0</v>
      </c>
      <c r="G17" s="281"/>
      <c r="H17" s="282" t="s">
        <v>41</v>
      </c>
      <c r="I17" s="784">
        <f>IF(AND($H$20&lt;=100,$H$20&gt;75.1),"X",)</f>
        <v>0</v>
      </c>
      <c r="J17" s="288">
        <v>20</v>
      </c>
      <c r="K17" s="372"/>
      <c r="L17" s="205"/>
      <c r="M17" s="1248"/>
      <c r="N17" s="292" t="s">
        <v>42</v>
      </c>
      <c r="O17" s="293">
        <v>0.18</v>
      </c>
      <c r="P17" s="294">
        <v>0.1</v>
      </c>
      <c r="Q17" s="295"/>
    </row>
    <row r="18" spans="2:17" s="210" customFormat="1" ht="12.75" customHeight="1" thickBot="1" x14ac:dyDescent="0.25">
      <c r="B18" s="1151" t="s">
        <v>43</v>
      </c>
      <c r="C18" s="1155"/>
      <c r="D18" s="1152"/>
      <c r="E18" s="434"/>
      <c r="F18" s="287">
        <v>0</v>
      </c>
      <c r="G18" s="281"/>
      <c r="H18" s="296" t="s">
        <v>44</v>
      </c>
      <c r="I18" s="785">
        <f>IF($H$20&gt;100.001,"X",)</f>
        <v>0</v>
      </c>
      <c r="J18" s="297">
        <v>30</v>
      </c>
      <c r="K18" s="371"/>
      <c r="L18" s="201"/>
      <c r="M18" s="1248"/>
      <c r="N18" s="208" t="s">
        <v>45</v>
      </c>
      <c r="O18" s="293">
        <v>0.08</v>
      </c>
      <c r="P18" s="294">
        <v>0.08</v>
      </c>
      <c r="Q18" s="295"/>
    </row>
    <row r="19" spans="2:17" s="210" customFormat="1" ht="12.75" customHeight="1" thickBot="1" x14ac:dyDescent="0.25">
      <c r="B19" s="1167" t="s">
        <v>46</v>
      </c>
      <c r="C19" s="1156"/>
      <c r="D19" s="1157"/>
      <c r="E19" s="435"/>
      <c r="F19" s="298">
        <v>0</v>
      </c>
      <c r="G19" s="299"/>
      <c r="H19" s="201" t="s">
        <v>47</v>
      </c>
      <c r="I19" s="201"/>
      <c r="J19" s="371" t="s">
        <v>48</v>
      </c>
      <c r="K19" s="320" t="str">
        <f>VLOOKUP("X",$I$15:$J$18,2,FALSE)</f>
        <v>-</v>
      </c>
      <c r="L19" s="201"/>
      <c r="M19" s="1248"/>
      <c r="N19" s="208" t="s">
        <v>49</v>
      </c>
      <c r="O19" s="293">
        <v>0.08</v>
      </c>
      <c r="P19" s="294">
        <v>0.08</v>
      </c>
      <c r="Q19" s="290"/>
    </row>
    <row r="20" spans="2:17" s="210" customFormat="1" ht="12.75" customHeight="1" thickBot="1" x14ac:dyDescent="0.25">
      <c r="B20" s="201"/>
      <c r="C20" s="201"/>
      <c r="D20" s="301" t="s">
        <v>50</v>
      </c>
      <c r="E20" s="807">
        <f>SUM(E15:E19)</f>
        <v>0</v>
      </c>
      <c r="F20" s="788">
        <f>SUM(F15:F19)</f>
        <v>0</v>
      </c>
      <c r="G20" s="302"/>
      <c r="H20" s="789">
        <f>IF(ISERROR(E20/E11*100),,(E20/E11*100))</f>
        <v>0</v>
      </c>
      <c r="I20" s="201" t="s">
        <v>18</v>
      </c>
      <c r="J20" s="201"/>
      <c r="K20" s="371"/>
      <c r="L20" s="201"/>
      <c r="M20" s="1249"/>
      <c r="N20" s="303" t="s">
        <v>51</v>
      </c>
      <c r="O20" s="304">
        <v>0.08</v>
      </c>
      <c r="P20" s="305">
        <v>0.08</v>
      </c>
      <c r="Q20" s="264"/>
    </row>
    <row r="21" spans="2:17" ht="12.75" customHeight="1" x14ac:dyDescent="0.2">
      <c r="B21" s="201"/>
      <c r="C21" s="201"/>
      <c r="D21" s="201"/>
      <c r="E21" s="201"/>
      <c r="F21" s="201"/>
      <c r="G21" s="201"/>
      <c r="H21" s="201"/>
      <c r="I21" s="201"/>
      <c r="J21" s="201"/>
      <c r="K21" s="371"/>
      <c r="L21" s="201"/>
      <c r="M21" s="201"/>
      <c r="N21" s="201"/>
      <c r="O21" s="201"/>
      <c r="P21" s="201"/>
      <c r="Q21" s="264"/>
    </row>
    <row r="22" spans="2:17" ht="12.75" customHeight="1" thickBot="1" x14ac:dyDescent="0.25">
      <c r="B22" s="201"/>
      <c r="C22" s="201"/>
      <c r="D22" s="201"/>
      <c r="E22" s="201"/>
      <c r="F22" s="306"/>
      <c r="G22" s="201"/>
      <c r="H22" s="321" t="s">
        <v>52</v>
      </c>
      <c r="I22" s="201"/>
      <c r="J22" s="201"/>
      <c r="K22" s="371"/>
      <c r="L22" s="201"/>
      <c r="M22" s="201"/>
      <c r="N22" s="201"/>
      <c r="O22" s="201"/>
      <c r="P22" s="201"/>
      <c r="Q22" s="264"/>
    </row>
    <row r="23" spans="2:17" ht="12.75" customHeight="1" thickBot="1" x14ac:dyDescent="0.25">
      <c r="B23" s="1205" t="s">
        <v>53</v>
      </c>
      <c r="C23" s="1159"/>
      <c r="D23" s="1207"/>
      <c r="E23" s="339"/>
      <c r="F23" s="278"/>
      <c r="G23" s="340"/>
      <c r="H23" s="341" t="s">
        <v>54</v>
      </c>
      <c r="I23" s="252" t="s">
        <v>16</v>
      </c>
      <c r="J23" s="342" t="s">
        <v>25</v>
      </c>
      <c r="K23" s="372"/>
      <c r="L23" s="1264" t="s">
        <v>56</v>
      </c>
      <c r="M23" s="1264"/>
      <c r="N23" s="1264"/>
      <c r="O23" s="1264"/>
      <c r="P23" s="1264"/>
      <c r="Q23" s="264"/>
    </row>
    <row r="24" spans="2:17" ht="12.75" customHeight="1" x14ac:dyDescent="0.2">
      <c r="B24" s="1151" t="s">
        <v>108</v>
      </c>
      <c r="C24" s="1155"/>
      <c r="D24" s="1152"/>
      <c r="E24" s="661"/>
      <c r="F24" s="796">
        <f>F11</f>
        <v>0</v>
      </c>
      <c r="G24" s="344"/>
      <c r="H24" s="282" t="s">
        <v>55</v>
      </c>
      <c r="I24" s="790" t="str">
        <f>IF(COUNTIF($L$24:$L$28,"x")=0,"X",)</f>
        <v>X</v>
      </c>
      <c r="J24" s="311" t="s">
        <v>148</v>
      </c>
      <c r="K24" s="372"/>
      <c r="L24" s="509" t="s">
        <v>57</v>
      </c>
      <c r="M24" s="1196" t="s">
        <v>58</v>
      </c>
      <c r="N24" s="1242"/>
      <c r="O24" s="1242"/>
      <c r="P24" s="1243"/>
      <c r="Q24" s="290"/>
    </row>
    <row r="25" spans="2:17" s="210" customFormat="1" ht="12.75" customHeight="1" x14ac:dyDescent="0.2">
      <c r="B25" s="1151" t="s">
        <v>109</v>
      </c>
      <c r="C25" s="1155"/>
      <c r="D25" s="1152"/>
      <c r="E25" s="661"/>
      <c r="F25" s="796">
        <f>F20</f>
        <v>0</v>
      </c>
      <c r="G25" s="344"/>
      <c r="H25" s="282">
        <v>1</v>
      </c>
      <c r="I25" s="790">
        <f>IF(COUNTIF($L$24:$L$28,"x")=1,"X",)</f>
        <v>0</v>
      </c>
      <c r="J25" s="288">
        <v>10</v>
      </c>
      <c r="K25" s="372"/>
      <c r="L25" s="436" t="s">
        <v>57</v>
      </c>
      <c r="M25" s="1250" t="s">
        <v>59</v>
      </c>
      <c r="N25" s="1155"/>
      <c r="O25" s="1155"/>
      <c r="P25" s="1251"/>
      <c r="Q25" s="244"/>
    </row>
    <row r="26" spans="2:17" s="210" customFormat="1" ht="12.75" customHeight="1" x14ac:dyDescent="0.2">
      <c r="B26" s="1151" t="s">
        <v>110</v>
      </c>
      <c r="C26" s="1155"/>
      <c r="D26" s="1152"/>
      <c r="E26" s="797">
        <f>60%*E25</f>
        <v>0</v>
      </c>
      <c r="F26" s="796">
        <f>F20*0.6</f>
        <v>0</v>
      </c>
      <c r="G26" s="344"/>
      <c r="H26" s="282">
        <v>2</v>
      </c>
      <c r="I26" s="790">
        <f>IF(COUNTIF($L$24:$L$28,"x")=2,"X",)</f>
        <v>0</v>
      </c>
      <c r="J26" s="288">
        <v>20</v>
      </c>
      <c r="K26" s="372"/>
      <c r="L26" s="436" t="s">
        <v>57</v>
      </c>
      <c r="M26" s="1252" t="s">
        <v>60</v>
      </c>
      <c r="N26" s="1253"/>
      <c r="O26" s="1253"/>
      <c r="P26" s="1254"/>
      <c r="Q26" s="244"/>
    </row>
    <row r="27" spans="2:17" s="210" customFormat="1" ht="12.75" customHeight="1" thickBot="1" x14ac:dyDescent="0.25">
      <c r="B27" s="1151" t="s">
        <v>111</v>
      </c>
      <c r="C27" s="1155"/>
      <c r="D27" s="1152"/>
      <c r="E27" s="798">
        <f>SUM(E24,E26)</f>
        <v>0</v>
      </c>
      <c r="F27" s="343"/>
      <c r="G27" s="345"/>
      <c r="H27" s="282">
        <v>3</v>
      </c>
      <c r="I27" s="790">
        <f>IF(COUNTIF($L$24:$L$28,"x")=3,"X",)</f>
        <v>0</v>
      </c>
      <c r="J27" s="288">
        <v>30</v>
      </c>
      <c r="K27" s="371"/>
      <c r="L27" s="436" t="s">
        <v>57</v>
      </c>
      <c r="M27" s="1250" t="s">
        <v>272</v>
      </c>
      <c r="N27" s="1155"/>
      <c r="O27" s="1155"/>
      <c r="P27" s="1251"/>
      <c r="Q27" s="244"/>
    </row>
    <row r="28" spans="2:17" s="210" customFormat="1" ht="12.75" customHeight="1" thickBot="1" x14ac:dyDescent="0.25">
      <c r="B28" s="1167"/>
      <c r="C28" s="1156"/>
      <c r="D28" s="1157"/>
      <c r="E28" s="346"/>
      <c r="F28" s="788">
        <f>F24+F26</f>
        <v>0</v>
      </c>
      <c r="G28" s="344"/>
      <c r="H28" s="282">
        <v>4</v>
      </c>
      <c r="I28" s="790">
        <f>IF(COUNTIF($L$24:$L$28,"x")=4,"X",)</f>
        <v>0</v>
      </c>
      <c r="J28" s="288">
        <v>40</v>
      </c>
      <c r="K28" s="371"/>
      <c r="L28" s="437" t="s">
        <v>57</v>
      </c>
      <c r="M28" s="1198" t="s">
        <v>61</v>
      </c>
      <c r="N28" s="1156"/>
      <c r="O28" s="1156"/>
      <c r="P28" s="1255"/>
      <c r="Q28" s="244"/>
    </row>
    <row r="29" spans="2:17" s="210" customFormat="1" ht="12.75" customHeight="1" thickBot="1" x14ac:dyDescent="0.25">
      <c r="B29" s="201"/>
      <c r="C29" s="201"/>
      <c r="D29" s="201"/>
      <c r="E29" s="214"/>
      <c r="F29" s="347"/>
      <c r="G29" s="333"/>
      <c r="H29" s="348">
        <v>5</v>
      </c>
      <c r="I29" s="791">
        <f>IF(COUNTIF($L$24:$L$28,"x")=5,"X",)</f>
        <v>0</v>
      </c>
      <c r="J29" s="297">
        <v>50</v>
      </c>
      <c r="K29" s="371"/>
      <c r="L29" s="244"/>
      <c r="M29" s="244"/>
      <c r="N29" s="244"/>
      <c r="O29" s="244"/>
      <c r="P29" s="244"/>
      <c r="Q29" s="244"/>
    </row>
    <row r="30" spans="2:17" s="210" customFormat="1" ht="12.75" customHeight="1" thickBot="1" x14ac:dyDescent="0.25">
      <c r="B30" s="201"/>
      <c r="C30" s="201"/>
      <c r="D30" s="201"/>
      <c r="E30" s="201"/>
      <c r="F30" s="349"/>
      <c r="G30" s="216"/>
      <c r="H30" s="201"/>
      <c r="I30" s="201"/>
      <c r="J30" s="371" t="s">
        <v>62</v>
      </c>
      <c r="K30" s="799" t="str">
        <f>VLOOKUP("X",I24:J29,2,FALSE)</f>
        <v>-</v>
      </c>
      <c r="L30" s="317"/>
      <c r="M30" s="201"/>
      <c r="N30" s="201"/>
      <c r="O30" s="201"/>
      <c r="P30" s="205"/>
      <c r="Q30" s="295"/>
    </row>
    <row r="31" spans="2:17" s="210" customFormat="1" ht="12.75" customHeight="1" thickBot="1" x14ac:dyDescent="0.25">
      <c r="B31" s="1205" t="s">
        <v>63</v>
      </c>
      <c r="C31" s="1159"/>
      <c r="D31" s="1159"/>
      <c r="E31" s="1206"/>
      <c r="F31" s="350"/>
      <c r="G31" s="216"/>
      <c r="H31" s="201"/>
      <c r="I31" s="201"/>
      <c r="J31" s="201"/>
      <c r="K31" s="202" t="s">
        <v>2</v>
      </c>
      <c r="L31" s="201" t="s">
        <v>64</v>
      </c>
      <c r="M31" s="1209" t="s">
        <v>197</v>
      </c>
      <c r="N31" s="1209"/>
      <c r="O31" s="201"/>
      <c r="P31" s="205"/>
      <c r="Q31" s="290"/>
    </row>
    <row r="32" spans="2:17" s="210" customFormat="1" ht="12.75" customHeight="1" thickBot="1" x14ac:dyDescent="0.25">
      <c r="B32" s="1151" t="s">
        <v>112</v>
      </c>
      <c r="C32" s="1155"/>
      <c r="D32" s="1152"/>
      <c r="E32" s="444"/>
      <c r="F32" s="215"/>
      <c r="G32" s="216"/>
      <c r="H32" s="201"/>
      <c r="I32" s="1192" t="s">
        <v>65</v>
      </c>
      <c r="J32" s="1194"/>
      <c r="K32" s="320">
        <f>SUM(K30,K19,K11)</f>
        <v>0</v>
      </c>
      <c r="L32" s="801" t="str">
        <f>IF(DettContCostoCost_SommaIncrementi=0,"I",IF(ISERROR(MATCH(DettContCostoCost_SommaIncrementi,Parametri_MinClassi,1))=TRUE,INDEX(Parametri_Classi,1,1),INDEX(Parametri_Classi,MATCH(DettContCostoCost_SommaIncrementi,Parametri_MinClassi,1),1)))</f>
        <v>I</v>
      </c>
      <c r="M32" s="1240">
        <f>IF(DettContCostoCost_SommaIncrementi=0,0,IF(ISERROR(MATCH(DettContCostoCost_SommaIncrementi,Parametri_MinClassi,1))=TRUE,INDEX(Parametri_Classi,1,4),INDEX(Parametri_Classi,MATCH(DettContCostoCost_SommaIncrementi,Parametri_MinClassi,1),4)))</f>
        <v>0</v>
      </c>
      <c r="N32" s="1241"/>
      <c r="O32" s="201"/>
      <c r="P32" s="205"/>
      <c r="Q32" s="290"/>
    </row>
    <row r="33" spans="2:17" s="210" customFormat="1" ht="12.75" customHeight="1" thickBot="1" x14ac:dyDescent="0.25">
      <c r="B33" s="1151" t="s">
        <v>113</v>
      </c>
      <c r="C33" s="1155"/>
      <c r="D33" s="1152"/>
      <c r="E33" s="444"/>
      <c r="F33" s="215"/>
      <c r="G33" s="216"/>
      <c r="H33" s="201"/>
      <c r="I33" s="201"/>
      <c r="J33" s="201"/>
      <c r="K33" s="371"/>
      <c r="L33" s="201"/>
      <c r="M33" s="201"/>
      <c r="N33" s="201"/>
      <c r="O33" s="201"/>
      <c r="P33" s="205"/>
      <c r="Q33" s="244"/>
    </row>
    <row r="34" spans="2:17" s="210" customFormat="1" ht="12.75" customHeight="1" thickBot="1" x14ac:dyDescent="0.25">
      <c r="B34" s="1151" t="s">
        <v>114</v>
      </c>
      <c r="C34" s="1155"/>
      <c r="D34" s="1152"/>
      <c r="E34" s="808">
        <f>E33*0.6</f>
        <v>0</v>
      </c>
      <c r="F34" s="794">
        <f>F33*0.6</f>
        <v>0</v>
      </c>
      <c r="G34" s="216"/>
      <c r="H34" s="201"/>
      <c r="I34" s="1192" t="s">
        <v>66</v>
      </c>
      <c r="J34" s="1193"/>
      <c r="K34" s="1194"/>
      <c r="L34" s="804">
        <f>IF(Cc_Modalitacalcolo="Calcolo costo costruzione",E27+E35,0)</f>
        <v>0</v>
      </c>
      <c r="M34" s="201" t="s">
        <v>67</v>
      </c>
      <c r="N34" s="201"/>
      <c r="O34" s="201"/>
      <c r="P34" s="205"/>
      <c r="Q34" s="244"/>
    </row>
    <row r="35" spans="2:17" s="210" customFormat="1" ht="12.75" customHeight="1" thickBot="1" x14ac:dyDescent="0.25">
      <c r="B35" s="1167" t="s">
        <v>115</v>
      </c>
      <c r="C35" s="1156"/>
      <c r="D35" s="1157"/>
      <c r="E35" s="809">
        <f>E32+E34</f>
        <v>0</v>
      </c>
      <c r="F35" s="217">
        <v>0</v>
      </c>
      <c r="G35" s="216"/>
      <c r="H35" s="201"/>
      <c r="I35" s="1265" t="s">
        <v>94</v>
      </c>
      <c r="J35" s="1265"/>
      <c r="K35" s="1266"/>
      <c r="L35" s="351">
        <f>L34</f>
        <v>0</v>
      </c>
      <c r="M35" s="201"/>
      <c r="N35" s="201"/>
      <c r="O35" s="201"/>
      <c r="P35" s="201"/>
      <c r="Q35" s="244"/>
    </row>
    <row r="36" spans="2:17" s="210" customFormat="1" ht="12.75" customHeight="1" thickBot="1" x14ac:dyDescent="0.25">
      <c r="B36" s="241"/>
      <c r="C36" s="200"/>
      <c r="D36" s="200"/>
      <c r="E36" s="200"/>
      <c r="F36" s="788">
        <f>F32+F34</f>
        <v>0</v>
      </c>
      <c r="G36" s="221"/>
      <c r="H36" s="201"/>
      <c r="I36" s="201" t="s">
        <v>74</v>
      </c>
      <c r="J36" s="201"/>
      <c r="K36" s="371"/>
      <c r="L36" s="201"/>
      <c r="M36" s="201"/>
      <c r="N36" s="201"/>
      <c r="O36" s="201"/>
      <c r="P36" s="201"/>
      <c r="Q36" s="244"/>
    </row>
    <row r="37" spans="2:17" s="210" customFormat="1" ht="12.75" customHeight="1" x14ac:dyDescent="0.2">
      <c r="B37" s="201"/>
      <c r="C37" s="201"/>
      <c r="D37" s="201"/>
      <c r="E37" s="201"/>
      <c r="F37" s="352"/>
      <c r="G37" s="221"/>
      <c r="H37" s="201"/>
      <c r="I37" s="1199" t="s">
        <v>124</v>
      </c>
      <c r="J37" s="1200"/>
      <c r="K37" s="1196" t="s">
        <v>68</v>
      </c>
      <c r="L37" s="1197"/>
      <c r="M37" s="338" t="s">
        <v>205</v>
      </c>
      <c r="N37" s="1267"/>
      <c r="O37" s="1268"/>
      <c r="P37" s="201"/>
      <c r="Q37" s="244"/>
    </row>
    <row r="38" spans="2:17" s="210" customFormat="1" ht="12.75" customHeight="1" thickBot="1" x14ac:dyDescent="0.25">
      <c r="B38" s="201"/>
      <c r="C38" s="201"/>
      <c r="D38" s="201"/>
      <c r="E38" s="201"/>
      <c r="F38" s="352"/>
      <c r="G38" s="221"/>
      <c r="H38" s="201"/>
      <c r="I38" s="1201"/>
      <c r="J38" s="1202"/>
      <c r="K38" s="1198" t="s">
        <v>69</v>
      </c>
      <c r="L38" s="1157"/>
      <c r="M38" s="353" t="s">
        <v>206</v>
      </c>
      <c r="N38" s="1258">
        <v>0</v>
      </c>
      <c r="O38" s="1259"/>
      <c r="P38" s="201"/>
      <c r="Q38" s="244"/>
    </row>
    <row r="39" spans="2:17" s="210" customFormat="1" ht="12.75" customHeight="1" thickBot="1" x14ac:dyDescent="0.25">
      <c r="B39" s="1195" t="s">
        <v>201</v>
      </c>
      <c r="C39" s="1195"/>
      <c r="D39" s="1195"/>
      <c r="E39" s="1195"/>
      <c r="F39" s="1195"/>
      <c r="G39" s="1195"/>
      <c r="H39" s="1195"/>
      <c r="I39" s="220"/>
      <c r="J39" s="221"/>
      <c r="K39" s="371"/>
      <c r="L39" s="201"/>
      <c r="M39" s="201"/>
      <c r="N39" s="354"/>
      <c r="O39" s="355"/>
      <c r="P39" s="201"/>
      <c r="Q39" s="244"/>
    </row>
    <row r="40" spans="2:17" s="244" customFormat="1" ht="12.75" customHeight="1" thickBot="1" x14ac:dyDescent="0.25">
      <c r="B40" s="1169" t="s">
        <v>229</v>
      </c>
      <c r="C40" s="1169"/>
      <c r="D40" s="1169"/>
      <c r="E40" s="1169"/>
      <c r="F40" s="219"/>
      <c r="G40" s="356"/>
      <c r="H40" s="201"/>
      <c r="I40" s="201"/>
      <c r="J40" s="322"/>
      <c r="K40" s="373"/>
      <c r="L40" s="322"/>
      <c r="M40" s="231"/>
      <c r="N40" s="1256">
        <f>IF(DettaglioCostoCostruz_TipoIntervento="Nuova costruzione",CostoBase_NuovaEdif,CostoBase_Ristrutturaz)</f>
        <v>416.43</v>
      </c>
      <c r="O40" s="1257"/>
      <c r="P40" s="201"/>
    </row>
    <row r="41" spans="2:17" s="244" customFormat="1" ht="12.75" customHeight="1" thickBot="1" x14ac:dyDescent="0.25">
      <c r="B41" s="1169" t="s">
        <v>230</v>
      </c>
      <c r="C41" s="1169"/>
      <c r="D41" s="1169"/>
      <c r="E41" s="1169"/>
      <c r="F41" s="219"/>
      <c r="G41" s="356"/>
      <c r="H41" s="212"/>
      <c r="I41" s="212"/>
      <c r="J41" s="323"/>
      <c r="K41" s="374"/>
      <c r="L41" s="323"/>
      <c r="M41" s="231"/>
      <c r="N41" s="1256">
        <f>N40*(1+M32/100)</f>
        <v>416.43</v>
      </c>
      <c r="O41" s="1257"/>
      <c r="P41" s="201"/>
    </row>
    <row r="42" spans="2:17" s="244" customFormat="1" ht="12.75" customHeight="1" thickBot="1" x14ac:dyDescent="0.25">
      <c r="B42" s="1169" t="s">
        <v>125</v>
      </c>
      <c r="C42" s="1169"/>
      <c r="D42" s="1169"/>
      <c r="E42" s="1169"/>
      <c r="F42" s="219"/>
      <c r="G42" s="356"/>
      <c r="H42" s="212"/>
      <c r="I42" s="212"/>
      <c r="J42" s="323"/>
      <c r="K42" s="374"/>
      <c r="L42" s="323"/>
      <c r="M42" s="231"/>
      <c r="N42" s="1256">
        <f>(L35*N41)</f>
        <v>0</v>
      </c>
      <c r="O42" s="1257"/>
      <c r="P42" s="201"/>
    </row>
    <row r="43" spans="2:17" s="244" customFormat="1" ht="12.75" customHeight="1" thickBot="1" x14ac:dyDescent="0.25">
      <c r="B43" s="1195" t="s">
        <v>202</v>
      </c>
      <c r="C43" s="1195"/>
      <c r="D43" s="1195"/>
      <c r="E43" s="1195"/>
      <c r="F43" s="219"/>
      <c r="G43" s="356"/>
      <c r="H43" s="201"/>
      <c r="I43" s="201"/>
      <c r="J43" s="220"/>
      <c r="K43" s="202" t="s">
        <v>132</v>
      </c>
      <c r="L43" s="220"/>
      <c r="M43" s="220"/>
      <c r="N43" s="357"/>
      <c r="O43" s="355"/>
      <c r="P43" s="201"/>
    </row>
    <row r="44" spans="2:17" s="210" customFormat="1" ht="12.75" customHeight="1" thickBot="1" x14ac:dyDescent="0.25">
      <c r="B44" s="1169" t="s">
        <v>126</v>
      </c>
      <c r="C44" s="1169"/>
      <c r="D44" s="1169"/>
      <c r="E44" s="1169"/>
      <c r="F44" s="358"/>
      <c r="G44" s="356"/>
      <c r="H44" s="230" t="s">
        <v>70</v>
      </c>
      <c r="I44" s="230"/>
      <c r="J44" s="220"/>
      <c r="K44" s="805">
        <f>IF(ISERROR(MATCH(DettContCostoCost_SommaIncrementi,Parametri_MinClassi,1))=TRUE,INDEX(Parametri_Classi,1,IF(DettaglioCostoCostruz_TipoIntervento="Ristrutturazione",6,5)),INDEX(Parametri_Classi,MATCH(DettContCostoCost_SommaIncrementi,Parametri_MinClassi,1),IF(DettaglioCostoCostruz_TipoIntervento="Ristrutturazione",6,5)))</f>
        <v>5</v>
      </c>
      <c r="L44" s="221" t="s">
        <v>31</v>
      </c>
      <c r="M44" s="231"/>
      <c r="N44" s="1256">
        <f>N42*K44/100</f>
        <v>0</v>
      </c>
      <c r="O44" s="1257"/>
      <c r="P44" s="201"/>
      <c r="Q44" s="244" t="s">
        <v>71</v>
      </c>
    </row>
    <row r="45" spans="2:17" s="210" customFormat="1" ht="12.75" customHeight="1" thickBot="1" x14ac:dyDescent="0.25">
      <c r="B45" s="1169" t="s">
        <v>127</v>
      </c>
      <c r="C45" s="1169"/>
      <c r="D45" s="1169"/>
      <c r="E45" s="1169"/>
      <c r="F45" s="358"/>
      <c r="G45" s="356"/>
      <c r="H45" s="230" t="s">
        <v>72</v>
      </c>
      <c r="I45" s="359"/>
      <c r="J45" s="360"/>
      <c r="K45" s="805">
        <f>IF(ISERROR(MATCH(DettContCostoCost_SommaIncrementi,Parametri_MinClassi,1))=TRUE,INDEX(Parametri_Classi,1,IF(DettaglioCostoCostruz_TipoIntervento="Ristrutturazione",6,5)),INDEX(Parametri_Classi,MATCH(DettContCostoCost_SommaIncrementi,Parametri_MinClassi,1),IF(DettaglioCostoCostruz_TipoIntervento="Ristrutturazione",6,5)))</f>
        <v>5</v>
      </c>
      <c r="L45" s="323" t="s">
        <v>31</v>
      </c>
      <c r="M45" s="231"/>
      <c r="N45" s="1256">
        <f>N37*K45/100</f>
        <v>0</v>
      </c>
      <c r="O45" s="1257"/>
      <c r="P45" s="201"/>
      <c r="Q45" s="256"/>
    </row>
    <row r="46" spans="2:17" s="210" customFormat="1" ht="12.75" customHeight="1" thickBot="1" x14ac:dyDescent="0.25">
      <c r="B46" s="1169" t="s">
        <v>128</v>
      </c>
      <c r="C46" s="1169"/>
      <c r="D46" s="1169"/>
      <c r="E46" s="1169"/>
      <c r="F46" s="358"/>
      <c r="G46" s="356"/>
      <c r="H46" s="238" t="s">
        <v>73</v>
      </c>
      <c r="I46" s="238"/>
      <c r="J46" s="360"/>
      <c r="K46" s="806">
        <f>IF(DettaglioCostoCostruz_TipoIntervento="Nuova costruzione",Parametri_Aliquota_terziario_nuova_costr,Parametri_Aliquota_terziario_ristrutt)</f>
        <v>0.1</v>
      </c>
      <c r="L46" s="323" t="s">
        <v>31</v>
      </c>
      <c r="M46" s="231"/>
      <c r="N46" s="1256">
        <f>N38*K46</f>
        <v>0</v>
      </c>
      <c r="O46" s="1257"/>
      <c r="P46" s="201"/>
      <c r="Q46" s="256"/>
    </row>
    <row r="47" spans="2:17" s="366" customFormat="1" ht="12.75" customHeight="1" thickBot="1" x14ac:dyDescent="0.25">
      <c r="B47" s="1175" t="s">
        <v>129</v>
      </c>
      <c r="C47" s="1175"/>
      <c r="D47" s="1175"/>
      <c r="E47" s="1175"/>
      <c r="F47" s="361"/>
      <c r="G47" s="361"/>
      <c r="H47" s="362"/>
      <c r="I47" s="362"/>
      <c r="J47" s="362"/>
      <c r="K47" s="375"/>
      <c r="L47" s="362" t="s">
        <v>31</v>
      </c>
      <c r="M47" s="363"/>
      <c r="N47" s="1256">
        <f>N44+N45+N46</f>
        <v>0</v>
      </c>
      <c r="O47" s="1257"/>
      <c r="P47" s="364"/>
      <c r="Q47" s="365"/>
    </row>
    <row r="48" spans="2:17" s="210" customFormat="1" ht="12.75" customHeight="1" thickBot="1" x14ac:dyDescent="0.25">
      <c r="B48" s="1195" t="s">
        <v>203</v>
      </c>
      <c r="C48" s="1195"/>
      <c r="D48" s="1195"/>
      <c r="E48" s="1195"/>
      <c r="F48" s="358"/>
      <c r="G48" s="358"/>
      <c r="H48" s="220"/>
      <c r="I48" s="220"/>
      <c r="J48" s="220"/>
      <c r="K48" s="300"/>
      <c r="L48" s="220"/>
      <c r="M48" s="220"/>
      <c r="N48" s="354"/>
      <c r="O48" s="355"/>
      <c r="P48" s="201"/>
      <c r="Q48" s="256"/>
    </row>
    <row r="49" spans="2:17" s="210" customFormat="1" ht="12.75" customHeight="1" thickBot="1" x14ac:dyDescent="0.25">
      <c r="B49" s="1169" t="s">
        <v>130</v>
      </c>
      <c r="C49" s="1169"/>
      <c r="D49" s="1169"/>
      <c r="E49" s="1169"/>
      <c r="F49" s="223"/>
      <c r="G49" s="223"/>
      <c r="H49" s="367"/>
      <c r="I49" s="367"/>
      <c r="J49" s="322"/>
      <c r="K49" s="373"/>
      <c r="L49" s="322"/>
      <c r="M49" s="231"/>
      <c r="N49" s="1232"/>
      <c r="O49" s="1233"/>
      <c r="P49" s="201"/>
      <c r="Q49" s="256"/>
    </row>
    <row r="50" spans="2:17" s="210" customFormat="1" ht="12.75" customHeight="1" thickBot="1" x14ac:dyDescent="0.25">
      <c r="B50" s="1169" t="s">
        <v>131</v>
      </c>
      <c r="C50" s="1169"/>
      <c r="D50" s="1169"/>
      <c r="E50" s="1169"/>
      <c r="F50" s="223"/>
      <c r="G50" s="223"/>
      <c r="H50" s="212"/>
      <c r="I50" s="212"/>
      <c r="J50" s="323"/>
      <c r="K50" s="374"/>
      <c r="L50" s="323"/>
      <c r="M50" s="231"/>
      <c r="N50" s="1232"/>
      <c r="O50" s="1233"/>
      <c r="P50" s="201"/>
      <c r="Q50" s="256"/>
    </row>
    <row r="51" spans="2:17" s="210" customFormat="1" ht="12.75" customHeight="1" thickBot="1" x14ac:dyDescent="0.25">
      <c r="B51" s="240"/>
      <c r="C51" s="240"/>
      <c r="D51" s="240"/>
      <c r="E51" s="240"/>
      <c r="F51" s="368"/>
      <c r="G51" s="368"/>
      <c r="H51" s="275"/>
      <c r="I51" s="275"/>
      <c r="J51" s="275"/>
      <c r="K51" s="372"/>
      <c r="L51" s="205"/>
      <c r="M51" s="205"/>
      <c r="N51" s="369"/>
      <c r="O51" s="369"/>
      <c r="P51" s="201"/>
      <c r="Q51" s="256"/>
    </row>
    <row r="52" spans="2:17" s="210" customFormat="1" ht="15" customHeight="1" thickBot="1" x14ac:dyDescent="0.25">
      <c r="B52" s="1203" t="s">
        <v>99</v>
      </c>
      <c r="C52" s="1203"/>
      <c r="D52" s="1203"/>
      <c r="E52" s="1203"/>
      <c r="F52" s="1203"/>
      <c r="G52" s="1203"/>
      <c r="H52" s="1203"/>
      <c r="I52" s="1203"/>
      <c r="J52" s="1203"/>
      <c r="K52" s="1203"/>
      <c r="L52" s="1203"/>
      <c r="M52" s="1204"/>
      <c r="N52" s="1228">
        <f>(N47-N49-N50)</f>
        <v>0</v>
      </c>
      <c r="O52" s="1229"/>
      <c r="P52" s="201"/>
      <c r="Q52" s="256"/>
    </row>
    <row r="53" spans="2:17" s="210" customFormat="1" ht="12" customHeight="1" x14ac:dyDescent="0.2">
      <c r="B53" s="201"/>
      <c r="C53" s="201"/>
      <c r="D53" s="201"/>
      <c r="E53" s="201"/>
      <c r="F53" s="223"/>
      <c r="G53" s="223"/>
      <c r="H53" s="201"/>
      <c r="I53" s="201"/>
      <c r="J53" s="201"/>
      <c r="K53" s="371"/>
      <c r="L53" s="201"/>
      <c r="M53" s="201"/>
      <c r="N53" s="201"/>
      <c r="O53" s="201"/>
      <c r="P53" s="201"/>
      <c r="Q53" s="256"/>
    </row>
  </sheetData>
  <sheetProtection sheet="1" insertRows="0"/>
  <mergeCells count="73">
    <mergeCell ref="B49:E49"/>
    <mergeCell ref="B48:E48"/>
    <mergeCell ref="N44:O44"/>
    <mergeCell ref="N45:O45"/>
    <mergeCell ref="N52:O52"/>
    <mergeCell ref="I32:J32"/>
    <mergeCell ref="I35:K35"/>
    <mergeCell ref="N37:O37"/>
    <mergeCell ref="M31:N31"/>
    <mergeCell ref="B52:M52"/>
    <mergeCell ref="B41:E41"/>
    <mergeCell ref="N50:O50"/>
    <mergeCell ref="N49:O49"/>
    <mergeCell ref="M32:N32"/>
    <mergeCell ref="B50:E50"/>
    <mergeCell ref="B46:E46"/>
    <mergeCell ref="N40:O40"/>
    <mergeCell ref="K37:L37"/>
    <mergeCell ref="K38:L38"/>
    <mergeCell ref="N41:O41"/>
    <mergeCell ref="N47:O47"/>
    <mergeCell ref="B47:E47"/>
    <mergeCell ref="B45:E45"/>
    <mergeCell ref="L23:P23"/>
    <mergeCell ref="M9:N11"/>
    <mergeCell ref="B19:D19"/>
    <mergeCell ref="B10:C10"/>
    <mergeCell ref="M28:P28"/>
    <mergeCell ref="B27:D27"/>
    <mergeCell ref="M12:M20"/>
    <mergeCell ref="B17:D17"/>
    <mergeCell ref="B18:D18"/>
    <mergeCell ref="O7:O14"/>
    <mergeCell ref="N46:O46"/>
    <mergeCell ref="B1:P1"/>
    <mergeCell ref="D2:H2"/>
    <mergeCell ref="B6:C6"/>
    <mergeCell ref="D3:H3"/>
    <mergeCell ref="B2:C2"/>
    <mergeCell ref="B3:C3"/>
    <mergeCell ref="B5:C5"/>
    <mergeCell ref="B42:E42"/>
    <mergeCell ref="B39:H39"/>
    <mergeCell ref="M26:P26"/>
    <mergeCell ref="B24:D24"/>
    <mergeCell ref="Q6:Q7"/>
    <mergeCell ref="I37:J38"/>
    <mergeCell ref="B9:C9"/>
    <mergeCell ref="B8:C8"/>
    <mergeCell ref="B7:C7"/>
    <mergeCell ref="B15:D16"/>
    <mergeCell ref="B23:D23"/>
    <mergeCell ref="M24:P24"/>
    <mergeCell ref="P7:P14"/>
    <mergeCell ref="N12:N14"/>
    <mergeCell ref="B14:D14"/>
    <mergeCell ref="E15:E16"/>
    <mergeCell ref="B43:E43"/>
    <mergeCell ref="B44:E44"/>
    <mergeCell ref="B25:D25"/>
    <mergeCell ref="B28:D28"/>
    <mergeCell ref="M27:P27"/>
    <mergeCell ref="I34:K34"/>
    <mergeCell ref="B40:E40"/>
    <mergeCell ref="B33:D33"/>
    <mergeCell ref="B35:D35"/>
    <mergeCell ref="B34:D34"/>
    <mergeCell ref="B31:E31"/>
    <mergeCell ref="B32:D32"/>
    <mergeCell ref="B26:D26"/>
    <mergeCell ref="M25:P25"/>
    <mergeCell ref="N42:O42"/>
    <mergeCell ref="N38:O38"/>
  </mergeCells>
  <phoneticPr fontId="21" type="noConversion"/>
  <dataValidations count="3">
    <dataValidation type="list" allowBlank="1" showInputMessage="1" showErrorMessage="1" sqref="D2" xr:uid="{00000000-0002-0000-0800-000000000000}">
      <formula1>"Nuova costruzione,Ristrutturazione"</formula1>
    </dataValidation>
    <dataValidation type="list" allowBlank="1" showInputMessage="1" showErrorMessage="1" sqref="D3" xr:uid="{00000000-0002-0000-0800-000001000000}">
      <formula1>"Calcolo costo costruzione,Calcolo classe"</formula1>
    </dataValidation>
    <dataValidation type="list" allowBlank="1" showInputMessage="1" showErrorMessage="1" sqref="L24:L28" xr:uid="{00000000-0002-0000-0800-000002000000}">
      <formula1>opzioni</formula1>
    </dataValidation>
  </dataValidations>
  <hyperlinks>
    <hyperlink ref="Q6:Q7" location="'Procedura guidata'!A1" display="Torna alla procedura guidata!" xr:uid="{00000000-0004-0000-0800-000000000000}"/>
  </hyperlinks>
  <pageMargins left="0.23622047244094491" right="0.15748031496062992" top="0.27559055118110237" bottom="0.27559055118110237" header="0.27559055118110237"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564</vt:i4>
      </vt:variant>
    </vt:vector>
  </HeadingPairs>
  <TitlesOfParts>
    <vt:vector size="577" baseType="lpstr">
      <vt:lpstr>Procedura guidata</vt:lpstr>
      <vt:lpstr>Riepilogo generale</vt:lpstr>
      <vt:lpstr>Riepilogo oneri e costi</vt:lpstr>
      <vt:lpstr>Descrizione dell'intervento</vt:lpstr>
      <vt:lpstr>Calcolo superfici edificio</vt:lpstr>
      <vt:lpstr>Determinazione classe</vt:lpstr>
      <vt:lpstr>Costo Costruzione</vt:lpstr>
      <vt:lpstr>Costo costruzione statofatto</vt:lpstr>
      <vt:lpstr>Costo costruzione progetto</vt:lpstr>
      <vt:lpstr>Calcolo superficie parcheggio</vt:lpstr>
      <vt:lpstr>Parametri</vt:lpstr>
      <vt:lpstr>Rateizzazione</vt:lpstr>
      <vt:lpstr>Solo1</vt:lpstr>
      <vt:lpstr>'Costo Costruzione'!Area_stampa</vt:lpstr>
      <vt:lpstr>'Costo costruzione progetto'!Area_stampa</vt:lpstr>
      <vt:lpstr>'Costo costruzione statofatto'!Area_stampa</vt:lpstr>
      <vt:lpstr>'Descrizione dell''intervento'!Area_stampa</vt:lpstr>
      <vt:lpstr>'Determinazione classe'!Area_stampa</vt:lpstr>
      <vt:lpstr>'Riepilogo generale'!Area_stampa</vt:lpstr>
      <vt:lpstr>'Riepilogo oneri e costi'!Area_stampa</vt:lpstr>
      <vt:lpstr>Calcolo_sup_parcheggi_tot_volume_UIU</vt:lpstr>
      <vt:lpstr>CalcOn_OneriSmaltRif</vt:lpstr>
      <vt:lpstr>CalcOn_OneriUrbPrim</vt:lpstr>
      <vt:lpstr>CalcOn_OneriUrbSec</vt:lpstr>
      <vt:lpstr>CC_AltriCosti_DescMaggCostoCAreeAgr</vt:lpstr>
      <vt:lpstr>CC_AltriCosti_Sanzione</vt:lpstr>
      <vt:lpstr>CC_AltriCosti_SanzioneLabel</vt:lpstr>
      <vt:lpstr>CC_AltriCosti_ValoreMaggCCRecSott</vt:lpstr>
      <vt:lpstr>CC_AltriCosti_ValoreMaggCostoCAreeAgr</vt:lpstr>
      <vt:lpstr>CC_AltriCosti_ValoreMaggOnPrimRecSott</vt:lpstr>
      <vt:lpstr>CC_AltriCosti_ValoreMaggOnRecSott</vt:lpstr>
      <vt:lpstr>CC_CommercioTerziario</vt:lpstr>
      <vt:lpstr>CC_Corrisposto</vt:lpstr>
      <vt:lpstr>cc_CostoCostRecSottProg</vt:lpstr>
      <vt:lpstr>CC_lblPersonalizzazione1</vt:lpstr>
      <vt:lpstr>CC_MaggConsumoSuolo</vt:lpstr>
      <vt:lpstr>'Costo costruzione statofatto'!Cc_Modalitacalcolo</vt:lpstr>
      <vt:lpstr>Cc_Modalitacalcolo</vt:lpstr>
      <vt:lpstr>CC_Oblazione</vt:lpstr>
      <vt:lpstr>CC_Oneri_Urb_Prim_Corrisposti</vt:lpstr>
      <vt:lpstr>CC_Oneri_Urb_Sec_Corrisposti</vt:lpstr>
      <vt:lpstr>Cc_OneriSmaltRifiutiRif</vt:lpstr>
      <vt:lpstr>Cc_OneriUrbPrimariaRif</vt:lpstr>
      <vt:lpstr>Cc_OneriUrbSecondariaRif</vt:lpstr>
      <vt:lpstr>CC_OpereUrbPrimRealizzate</vt:lpstr>
      <vt:lpstr>CC_OpereUrbSecRealizzate</vt:lpstr>
      <vt:lpstr>CC_Residenziale</vt:lpstr>
      <vt:lpstr>CC_RiduzioneDensificazione</vt:lpstr>
      <vt:lpstr>CC_RiduzioneDensificazione_StFatto_Prog</vt:lpstr>
      <vt:lpstr>CC_RiduzionePianoCasa</vt:lpstr>
      <vt:lpstr>CC_RiduzionePianoCasa_StFatto_Prog</vt:lpstr>
      <vt:lpstr>CC_SmaltimRif_Corrisposti</vt:lpstr>
      <vt:lpstr>CC_UrbPrimScomputati</vt:lpstr>
      <vt:lpstr>CC_UrbSecScomputati</vt:lpstr>
      <vt:lpstr>'Costo costruzione statofatto'!CCSF_DettContCostoCost_SommaIncrementi</vt:lpstr>
      <vt:lpstr>'Costo Costruzione'!CCStatoFatto_SupCalcolo</vt:lpstr>
      <vt:lpstr>CCStatoFatto_SupCalcolo</vt:lpstr>
      <vt:lpstr>ClasseEdificioDefault</vt:lpstr>
      <vt:lpstr>Co_MonAreeParc</vt:lpstr>
      <vt:lpstr>Co_MonAreeStand</vt:lpstr>
      <vt:lpstr>'Costo Costruzione'!Co_NEdResPrim</vt:lpstr>
      <vt:lpstr>Co_NEdResPrim</vt:lpstr>
      <vt:lpstr>Co_NEdResSec</vt:lpstr>
      <vt:lpstr>'Costo Costruzione'!Co_NEdSottPrim</vt:lpstr>
      <vt:lpstr>Complessivo_ConMagg</vt:lpstr>
      <vt:lpstr>ConsumoSuolo</vt:lpstr>
      <vt:lpstr>Costo_costruzione_Corrisposto</vt:lpstr>
      <vt:lpstr>CostoBase_CommTerz</vt:lpstr>
      <vt:lpstr>CostoBase_NuovaEdif</vt:lpstr>
      <vt:lpstr>CostoBase_Ristrutturaz</vt:lpstr>
      <vt:lpstr>CostoCost_CommTerz_CcEdificio</vt:lpstr>
      <vt:lpstr>CostoCost_Nuov_Ampl_EscCorrisposto</vt:lpstr>
      <vt:lpstr>CostoCost_NuovaCommTerz_ContrBaseMinistValore</vt:lpstr>
      <vt:lpstr>CostoCost_NuovaCost_CcEdificio</vt:lpstr>
      <vt:lpstr>CostoCost_NuovaCost_ContrBaseMinistAliq</vt:lpstr>
      <vt:lpstr>CostoCost_NuovaCost_ContrBaseMinistValore</vt:lpstr>
      <vt:lpstr>CostoCost_NuovaCost_ContrComEstComAliq</vt:lpstr>
      <vt:lpstr>CostoCost_NuovaCost_ContrComEstResAliq</vt:lpstr>
      <vt:lpstr>CostoCost_NuovaCost_SupCompl_CommTerz</vt:lpstr>
      <vt:lpstr>CostoCost_NuovaCost_SupCompl_Res</vt:lpstr>
      <vt:lpstr>CostoCost_NuovaCostComm_ComputoEstim</vt:lpstr>
      <vt:lpstr>CostoCost_NuovaCostComm_SupCompl</vt:lpstr>
      <vt:lpstr>CostoCost_NuovaCostResid_ComputoEstim</vt:lpstr>
      <vt:lpstr>CostoCost_NuovaCostResid_SupCompl</vt:lpstr>
      <vt:lpstr>CostoCost_NuovaEdif_Dovuto</vt:lpstr>
      <vt:lpstr>CostoCost_Riferimento_Valore</vt:lpstr>
      <vt:lpstr>CostoCost_Rist_CcEdificio</vt:lpstr>
      <vt:lpstr>CostoCost_Rist_ContrBaseMinistAliq</vt:lpstr>
      <vt:lpstr>CostoCost_Rist_ContrBaseMinistValore</vt:lpstr>
      <vt:lpstr>CostoCost_Rist_ContrComEstComAliq</vt:lpstr>
      <vt:lpstr>CostoCost_Rist_ContrComEstResAliq</vt:lpstr>
      <vt:lpstr>CostoCost_Rist_Resid_ComputoEstim</vt:lpstr>
      <vt:lpstr>CostoCost_Rist_SupCompl_CommTerz</vt:lpstr>
      <vt:lpstr>CostoCost_Rist_SupCompl_Res</vt:lpstr>
      <vt:lpstr>CostoCost_RistComm_ComputoEstim</vt:lpstr>
      <vt:lpstr>CostoCost_RistComm_SupCompl</vt:lpstr>
      <vt:lpstr>CostoCost_RistCommTerz_ContrBaseMinistValore</vt:lpstr>
      <vt:lpstr>CostoCost_Ristr_EscCorrisposto</vt:lpstr>
      <vt:lpstr>CostoCost_RistrAmpl_Dovuto</vt:lpstr>
      <vt:lpstr>CostoCost_RistResid_SupCompl</vt:lpstr>
      <vt:lpstr>CostoCost_Sot_CcEdificio</vt:lpstr>
      <vt:lpstr>CostoCost_Sot_ContrBaseMinistAliq</vt:lpstr>
      <vt:lpstr>CostoCost_Sot_ContrComEstResAliq</vt:lpstr>
      <vt:lpstr>CostoCost_Sot_SupCompl</vt:lpstr>
      <vt:lpstr>CostoCost_Sott_ContEscMagg</vt:lpstr>
      <vt:lpstr>CostoCost_Sott_PercentMagg</vt:lpstr>
      <vt:lpstr>CostoCost_Sottotetti_ComputoEstim</vt:lpstr>
      <vt:lpstr>CostoCost_Sottotetti_ContrBaseMinistValore</vt:lpstr>
      <vt:lpstr>CostoCost_SottotResid_SupCompl</vt:lpstr>
      <vt:lpstr>CostoCostFinale_NuovaCostComm_ComputoEstim</vt:lpstr>
      <vt:lpstr>CostoCostFinale_NuovaCostResid_ComputoEstim</vt:lpstr>
      <vt:lpstr>CostoCostFinale_Rist_Resid_ComputoEstim</vt:lpstr>
      <vt:lpstr>CostoCostFinale_RistComm_ComputoEstim</vt:lpstr>
      <vt:lpstr>CostoCostFinale_Sottotetti_ComputoEstim</vt:lpstr>
      <vt:lpstr>CostoCostProg_ContributoDovuto</vt:lpstr>
      <vt:lpstr>CostoCostr_NuovaEdif_corrisposto_concessione_cong</vt:lpstr>
      <vt:lpstr>CostoCostr_NuovaEdif_corrisposto_varianti</vt:lpstr>
      <vt:lpstr>CostoCostr_NuovaEdif_Prog_corrisposto_concessione_cong</vt:lpstr>
      <vt:lpstr>CostoCostr_NuovaEdif_Prog_corrisposto_varianti</vt:lpstr>
      <vt:lpstr>CostoCostr_NuovaEdif_StFatto_corrisposto_concessione_cong</vt:lpstr>
      <vt:lpstr>CostoCostr_NuovaEdif_StFatto_corrisposto_varianti</vt:lpstr>
      <vt:lpstr>CostoCostr_Prog_StFatto_corrisposto</vt:lpstr>
      <vt:lpstr>CostoCostr_Ristrutt_corrisposto_concessione_cong</vt:lpstr>
      <vt:lpstr>CostoCostr_Ristrutt_corrisposto_varianti</vt:lpstr>
      <vt:lpstr>CostoCostr_Sottotetti_corrisposto_concessione_cong</vt:lpstr>
      <vt:lpstr>CostoCostr_Sottotetti_corrisposto_varianti</vt:lpstr>
      <vt:lpstr>CostoCostStatoFatto_ContributoDovuto</vt:lpstr>
      <vt:lpstr>DatiGen_IntervSanOnerosaForfImp</vt:lpstr>
      <vt:lpstr>DatiGen_ResidenzialeClasseA</vt:lpstr>
      <vt:lpstr>Densificazione</vt:lpstr>
      <vt:lpstr>DescInt_RisparmioPercent</vt:lpstr>
      <vt:lpstr>DescInt_RisparmioPercent_Etic</vt:lpstr>
      <vt:lpstr>DetCL_DettContCostoCost_SommaIncrementi</vt:lpstr>
      <vt:lpstr>DetClasse_Abitanti</vt:lpstr>
      <vt:lpstr>DetClasse_CostoCostruzClasse</vt:lpstr>
      <vt:lpstr>DetClasse_CostoMaggioratoCommTerz</vt:lpstr>
      <vt:lpstr>DetClasse_CostoMaggioratoNuovaEdif</vt:lpstr>
      <vt:lpstr>DetClasse_CostoMaggioratoRistr</vt:lpstr>
      <vt:lpstr>DetClasse_Maggiorazione</vt:lpstr>
      <vt:lpstr>DetClasse_NomeMatrice</vt:lpstr>
      <vt:lpstr>DetClasse_NomeMatriceMinClassi</vt:lpstr>
      <vt:lpstr>DetClasse_SelCaratt</vt:lpstr>
      <vt:lpstr>DetClasse_Snr</vt:lpstr>
      <vt:lpstr>DetClasse_SupUtile</vt:lpstr>
      <vt:lpstr>DetClasseEdificio_Snr</vt:lpstr>
      <vt:lpstr>DetClasseEdificio_SupUtile</vt:lpstr>
      <vt:lpstr>'Costo costruzione statofatto'!DettaglioCostoCostruz_Classe</vt:lpstr>
      <vt:lpstr>DettaglioCostoCostruz_Classe</vt:lpstr>
      <vt:lpstr>'Costo costruzione statofatto'!DettaglioCostoCostruz_TipoIntervento</vt:lpstr>
      <vt:lpstr>DettaglioCostoCostruz_TipoIntervento</vt:lpstr>
      <vt:lpstr>DettContCostoCost_SommaIncrementi</vt:lpstr>
      <vt:lpstr>DettContCostoCost_Sottot_Dovuto</vt:lpstr>
      <vt:lpstr>DettCosCostruz_SupCalcolo</vt:lpstr>
      <vt:lpstr>dimensione_planimetrica_1</vt:lpstr>
      <vt:lpstr>dimensione_planimetrica_1_totale</vt:lpstr>
      <vt:lpstr>dimensione_planimetrica_2</vt:lpstr>
      <vt:lpstr>dimensione_planimetrica_2_totale</vt:lpstr>
      <vt:lpstr>dimensione_planimetrica_3</vt:lpstr>
      <vt:lpstr>dimensione_planimetrica_3_totale</vt:lpstr>
      <vt:lpstr>dimensione_planimetrica_4</vt:lpstr>
      <vt:lpstr>dimensione_planimetrica_4_totale</vt:lpstr>
      <vt:lpstr>dimensione_planimetrica_5</vt:lpstr>
      <vt:lpstr>dimensione_planimetrica_5_totale</vt:lpstr>
      <vt:lpstr>dimensione_planimetrica_snr1_totale</vt:lpstr>
      <vt:lpstr>dimensione_planimetrica_snr2_totale</vt:lpstr>
      <vt:lpstr>dimensione_planimetrica_snr3_totale</vt:lpstr>
      <vt:lpstr>dimensione_planimetrica_totali</vt:lpstr>
      <vt:lpstr>EdiliziaConvenzionata</vt:lpstr>
      <vt:lpstr>elenco_riepilogo_sua_snr</vt:lpstr>
      <vt:lpstr>ElencoZone</vt:lpstr>
      <vt:lpstr>ElencoZoneMonetizzazione</vt:lpstr>
      <vt:lpstr>ElencoZoneMonetizzazione_Parcheggi</vt:lpstr>
      <vt:lpstr>ElencoZoneTerritoriali</vt:lpstr>
      <vt:lpstr>FormulaHide1</vt:lpstr>
      <vt:lpstr>ImportoAltriCosti</vt:lpstr>
      <vt:lpstr>ImportoCostoCostruzione</vt:lpstr>
      <vt:lpstr>ImportoCostoCostruzione_conAltriCosti</vt:lpstr>
      <vt:lpstr>ImportoCostoCostruzione_StatoFattoProgetto</vt:lpstr>
      <vt:lpstr>ImportoOneri_CambioUso</vt:lpstr>
      <vt:lpstr>ImportoOneri_Nuovadif</vt:lpstr>
      <vt:lpstr>ImportoOneri_RecSott</vt:lpstr>
      <vt:lpstr>ImportoOneri_Ristrutt</vt:lpstr>
      <vt:lpstr>ImportoOneri_Ristrutt_Sost</vt:lpstr>
      <vt:lpstr>'Costo Costruzione'!ImportoOneriSmaltimentoRif</vt:lpstr>
      <vt:lpstr>'Costo costruzione statofatto'!ImportoOneriSmaltimentoRif</vt:lpstr>
      <vt:lpstr>'Determinazione classe'!ImportoOneriSmaltimentoRif</vt:lpstr>
      <vt:lpstr>ImportoOneriSmaltimentoRif</vt:lpstr>
      <vt:lpstr>ImportoOneriSmaltRif_NuovaDest</vt:lpstr>
      <vt:lpstr>ImportoOneriUrb1</vt:lpstr>
      <vt:lpstr>ImportoOneriUrb1_NuovaDest</vt:lpstr>
      <vt:lpstr>ImportoOneriUrb2</vt:lpstr>
      <vt:lpstr>ImportoOneriUrb2_NuovaDest</vt:lpstr>
      <vt:lpstr>'Costo Costruzione'!ImportoOneriUrbanizzazione</vt:lpstr>
      <vt:lpstr>'Costo costruzione statofatto'!ImportoOneriUrbanizzazione</vt:lpstr>
      <vt:lpstr>'Determinazione classe'!ImportoOneriUrbanizzazione</vt:lpstr>
      <vt:lpstr>ImportoOneriUrbanizzazione</vt:lpstr>
      <vt:lpstr>ImportoOneriUrbanizzazione_NuovaDest</vt:lpstr>
      <vt:lpstr>ImportoOneriUrbanizzazione_Riferimento</vt:lpstr>
      <vt:lpstr>ImportoOneriUrbPrim_NuovaDest</vt:lpstr>
      <vt:lpstr>ImportoOneriUrbRecSottPrimaria</vt:lpstr>
      <vt:lpstr>ImportoOneriUrbRecSottSecondaria</vt:lpstr>
      <vt:lpstr>ImportoSmaltRifiuti_NuovaDest</vt:lpstr>
      <vt:lpstr>Info_CalcoloSuperficieParcheggio</vt:lpstr>
      <vt:lpstr>InSanatoria</vt:lpstr>
      <vt:lpstr>link_descrizione_intervento</vt:lpstr>
      <vt:lpstr>link_monetizzazione_standards</vt:lpstr>
      <vt:lpstr>link_oneri_urbanizzazione</vt:lpstr>
      <vt:lpstr>link_oneri_urbanizzazione_cambio_uso</vt:lpstr>
      <vt:lpstr>'Costo Costruzione'!Maggiorazione</vt:lpstr>
      <vt:lpstr>'Costo costruzione statofatto'!Maggiorazione</vt:lpstr>
      <vt:lpstr>'Determinazione classe'!Maggiorazione</vt:lpstr>
      <vt:lpstr>Maggiorazione</vt:lpstr>
      <vt:lpstr>MatriceParametri</vt:lpstr>
      <vt:lpstr>'Costo Costruzione'!Monetizz_Aree_sup</vt:lpstr>
      <vt:lpstr>'Costo costruzione statofatto'!Monetizz_Aree_sup</vt:lpstr>
      <vt:lpstr>'Determinazione classe'!Monetizz_Aree_sup</vt:lpstr>
      <vt:lpstr>Monetizz_Aree_sup</vt:lpstr>
      <vt:lpstr>'Costo Costruzione'!Monetizz_Parcheggi_Sup</vt:lpstr>
      <vt:lpstr>'Costo costruzione statofatto'!Monetizz_Parcheggi_Sup</vt:lpstr>
      <vt:lpstr>'Determinazione classe'!Monetizz_Parcheggi_Sup</vt:lpstr>
      <vt:lpstr>Monetizz_Parcheggi_Sup</vt:lpstr>
      <vt:lpstr>'Costo Costruzione'!Monetizzazione</vt:lpstr>
      <vt:lpstr>'Costo costruzione statofatto'!Monetizzazione</vt:lpstr>
      <vt:lpstr>'Determinazione classe'!Monetizzazione</vt:lpstr>
      <vt:lpstr>Monetizzazione</vt:lpstr>
      <vt:lpstr>OC_RispEnerResid_Hide</vt:lpstr>
      <vt:lpstr>OC_RispEnerSecResid_Hide</vt:lpstr>
      <vt:lpstr>Oneri_Urb_Prim_Corrisposti</vt:lpstr>
      <vt:lpstr>oneri_urb_prim_dest_finale</vt:lpstr>
      <vt:lpstr>oneri_urb_prim_dest_iniziale</vt:lpstr>
      <vt:lpstr>Oneri_Urb_Sec_Corrisposti</vt:lpstr>
      <vt:lpstr>oneri_urb_sec_dest_finale</vt:lpstr>
      <vt:lpstr>oneri_urb_sec_dest_iniziale</vt:lpstr>
      <vt:lpstr>'Costo Costruzione'!OneriTotali</vt:lpstr>
      <vt:lpstr>'Costo costruzione statofatto'!OneriTotali</vt:lpstr>
      <vt:lpstr>'Determinazione classe'!OneriTotali</vt:lpstr>
      <vt:lpstr>OnPrim_RiduzioneDensificazione</vt:lpstr>
      <vt:lpstr>OnPrim_RiduzionePianoCasa</vt:lpstr>
      <vt:lpstr>OnPrim_RiduzioneRispEnerg</vt:lpstr>
      <vt:lpstr>OnSec_RiduzioneDensificazione</vt:lpstr>
      <vt:lpstr>OnSec_RiduzionePianoCasa</vt:lpstr>
      <vt:lpstr>OnSec_RiduzioneRispEnerg</vt:lpstr>
      <vt:lpstr>OnUrb_AltriCosti_DescMaggCostoCAreeAgr</vt:lpstr>
      <vt:lpstr>OnUrb_AltriCosti_ValoreMaggCostoCAreeAgr</vt:lpstr>
      <vt:lpstr>OpereUrbPrimRealizzate</vt:lpstr>
      <vt:lpstr>OpereUrbSecRealizzate</vt:lpstr>
      <vt:lpstr>opzioni</vt:lpstr>
      <vt:lpstr>Ou_Cost_AttCulSan_NuovaEdif</vt:lpstr>
      <vt:lpstr>Ou_Cost_AttSpett_NuovaEdif</vt:lpstr>
      <vt:lpstr>Ou_Cost_AttSport_NuovaEdif</vt:lpstr>
      <vt:lpstr>Ou_Cost_Comm_NuovaEdif</vt:lpstr>
      <vt:lpstr>Ou_Cost_IndAlb_NuovaEdif</vt:lpstr>
      <vt:lpstr>Ou_Cost_IndArt_NuovaEdif</vt:lpstr>
      <vt:lpstr>Ou_Cost_Parc_NuovaEdif</vt:lpstr>
      <vt:lpstr>Ou_Cost_Personalizzazione1_NuovaEdif</vt:lpstr>
      <vt:lpstr>Ou_Cost_Personalizzazione2_NuovaEdif</vt:lpstr>
      <vt:lpstr>Ou_Cost_Personalizzazione3_NuovaEdif</vt:lpstr>
      <vt:lpstr>Ou_Cost_Personalizzazione4_NuovaEdif</vt:lpstr>
      <vt:lpstr>Ou_Cost_Personalizzazione5_NuovaEdif</vt:lpstr>
      <vt:lpstr>Ou_Cost_Res_NuovaEdif</vt:lpstr>
      <vt:lpstr>Ou_NuovaEd_AreaAgricola</vt:lpstr>
      <vt:lpstr>Ou_NuovaEd_AreaAgricolaPerc</vt:lpstr>
      <vt:lpstr>Ou_NuovaEd_AreaAgricolaSupAreaAg</vt:lpstr>
      <vt:lpstr>Ou_NuovaEd_AreaAgricolaSupLotto</vt:lpstr>
      <vt:lpstr>Ou_NuovaEd_AttSpet_ParReale</vt:lpstr>
      <vt:lpstr>Ou_NuovaEd_AttSpet_ParVirt</vt:lpstr>
      <vt:lpstr>Ou_NuovaEd_AttSpor_ParReale</vt:lpstr>
      <vt:lpstr>Ou_NuovaEd_AttSpor_ParVirt</vt:lpstr>
      <vt:lpstr>Ou_NuovaEd_Com_ParReale</vt:lpstr>
      <vt:lpstr>Ou_NuovaEd_Com_ParVirt</vt:lpstr>
      <vt:lpstr>Ou_NuovaEd_CultSan_ParReale</vt:lpstr>
      <vt:lpstr>Ou_NuovaEd_CultSan_ParVirt</vt:lpstr>
      <vt:lpstr>Ou_NuovaEd_IndAlb_ParReale</vt:lpstr>
      <vt:lpstr>Ou_NuovaEd_IndAlb_ParVirt</vt:lpstr>
      <vt:lpstr>Ou_NuovaEd_IndArt_ParReale</vt:lpstr>
      <vt:lpstr>Ou_NuovaEd_IndArt_ParVirt</vt:lpstr>
      <vt:lpstr>Ou_NuovaEd_ParSil_ParReale</vt:lpstr>
      <vt:lpstr>Ou_NuovaEd_ParSil_ParVirt</vt:lpstr>
      <vt:lpstr>Ou_NuovaEd_Person1_ParVirt</vt:lpstr>
      <vt:lpstr>Ou_NuovaEd_Person2_ParVirt</vt:lpstr>
      <vt:lpstr>Ou_NuovaEd_Person3_ParVirt</vt:lpstr>
      <vt:lpstr>Ou_NuovaEd_Person4_ParVirt</vt:lpstr>
      <vt:lpstr>Ou_NuovaEd_Person5_ParVirt</vt:lpstr>
      <vt:lpstr>Ou_NuovaEd_Res_ParVirt</vt:lpstr>
      <vt:lpstr>Ou_NuovaEd_Sottotetti_ParReale</vt:lpstr>
      <vt:lpstr>Ou_NuovaEd_Sottotetti_ParVirt</vt:lpstr>
      <vt:lpstr>Ou_PrimariaDefiniti</vt:lpstr>
      <vt:lpstr>Ou_Rist_AttSpet</vt:lpstr>
      <vt:lpstr>Ou_Rist_AttSpet_CompMet</vt:lpstr>
      <vt:lpstr>Ou_Rist_AttSpet_CompMet_Sost</vt:lpstr>
      <vt:lpstr>Ou_Rist_AttSpet_ParReale</vt:lpstr>
      <vt:lpstr>Ou_Rist_AttSpet_ParReale_Sost</vt:lpstr>
      <vt:lpstr>Ou_Rist_AttSpet_ParVirt</vt:lpstr>
      <vt:lpstr>Ou_Rist_AttSpet_ParVirt_Sost</vt:lpstr>
      <vt:lpstr>Ou_Rist_AttSpet_Sost</vt:lpstr>
      <vt:lpstr>Ou_Rist_AttSpor</vt:lpstr>
      <vt:lpstr>Ou_Rist_AttSpor_CompMet</vt:lpstr>
      <vt:lpstr>Ou_Rist_AttSpor_CompMet_Sost</vt:lpstr>
      <vt:lpstr>Ou_Rist_AttSpor_ParReale</vt:lpstr>
      <vt:lpstr>Ou_Rist_AttSpor_ParReale_Sost</vt:lpstr>
      <vt:lpstr>Ou_Rist_AttSpor_ParVirt</vt:lpstr>
      <vt:lpstr>Ou_Rist_AttSpor_ParVirt_Sost</vt:lpstr>
      <vt:lpstr>Ou_Rist_AttSpor_Sost</vt:lpstr>
      <vt:lpstr>Ou_Rist_Com</vt:lpstr>
      <vt:lpstr>Ou_Rist_Com_CompMet</vt:lpstr>
      <vt:lpstr>Ou_Rist_Com_CompMet_Sost</vt:lpstr>
      <vt:lpstr>Ou_Rist_Com_ParReale</vt:lpstr>
      <vt:lpstr>Ou_Rist_Com_ParReale_Sost</vt:lpstr>
      <vt:lpstr>Ou_Rist_Com_ParVirt</vt:lpstr>
      <vt:lpstr>Ou_Rist_Com_ParVirt_Sost</vt:lpstr>
      <vt:lpstr>Ou_Rist_Com_Sost</vt:lpstr>
      <vt:lpstr>Ou_Rist_CultSan</vt:lpstr>
      <vt:lpstr>Ou_Rist_CultSan_CompMet</vt:lpstr>
      <vt:lpstr>Ou_Rist_CultSan_CompMet_Sost</vt:lpstr>
      <vt:lpstr>Ou_Rist_CultSan_ParReale</vt:lpstr>
      <vt:lpstr>Ou_Rist_CultSan_ParReale_Sost</vt:lpstr>
      <vt:lpstr>Ou_Rist_CultSan_ParVirt</vt:lpstr>
      <vt:lpstr>Ou_Rist_CultSan_ParVirt_Sost</vt:lpstr>
      <vt:lpstr>Ou_Rist_CultSan_Sost</vt:lpstr>
      <vt:lpstr>Ou_Rist_IndAlb</vt:lpstr>
      <vt:lpstr>Ou_Rist_IndAlb_CompMet</vt:lpstr>
      <vt:lpstr>Ou_Rist_IndAlb_CompMet_Sost</vt:lpstr>
      <vt:lpstr>Ou_Rist_IndAlb_ParReale</vt:lpstr>
      <vt:lpstr>Ou_Rist_IndAlb_ParReale_Sost</vt:lpstr>
      <vt:lpstr>Ou_Rist_IndAlb_ParVirt</vt:lpstr>
      <vt:lpstr>Ou_Rist_IndAlb_ParVirt_Sost</vt:lpstr>
      <vt:lpstr>Ou_Rist_IndAlb_Sost</vt:lpstr>
      <vt:lpstr>Ou_Rist_IndArt</vt:lpstr>
      <vt:lpstr>Ou_Rist_IndArt_CompMet</vt:lpstr>
      <vt:lpstr>Ou_Rist_IndArt_CompMet_Sost</vt:lpstr>
      <vt:lpstr>Ou_Rist_IndArt_ParReale</vt:lpstr>
      <vt:lpstr>Ou_Rist_IndArt_ParReale_Sost</vt:lpstr>
      <vt:lpstr>Ou_Rist_IndArt_ParVirt</vt:lpstr>
      <vt:lpstr>Ou_Rist_IndArt_ParVirt_Sost</vt:lpstr>
      <vt:lpstr>Ou_Rist_IndArt_Sost</vt:lpstr>
      <vt:lpstr>Ou_Rist_ParSil</vt:lpstr>
      <vt:lpstr>Ou_Rist_ParSil_CompMet</vt:lpstr>
      <vt:lpstr>Ou_Rist_ParSil_CompMet_Sost</vt:lpstr>
      <vt:lpstr>Ou_Rist_ParSil_ParReale</vt:lpstr>
      <vt:lpstr>Ou_Rist_ParSil_ParReale_Sost</vt:lpstr>
      <vt:lpstr>Ou_Rist_ParSil_ParVirt</vt:lpstr>
      <vt:lpstr>Ou_Rist_ParSil_ParVirt_Sost</vt:lpstr>
      <vt:lpstr>Ou_Rist_ParSil_Sost</vt:lpstr>
      <vt:lpstr>Ou_Rist_Personalizzazione1</vt:lpstr>
      <vt:lpstr>Ou_Rist_Personalizzazione1_CompMet</vt:lpstr>
      <vt:lpstr>Ou_Rist_Personalizzazione1_CompMet_Sost</vt:lpstr>
      <vt:lpstr>Ou_Rist_Personalizzazione1_ParReale</vt:lpstr>
      <vt:lpstr>Ou_Rist_Personalizzazione1_ParReale_Sost</vt:lpstr>
      <vt:lpstr>Ou_Rist_Personalizzazione1_ParVirt</vt:lpstr>
      <vt:lpstr>Ou_Rist_Personalizzazione1_ParVirt_Sost</vt:lpstr>
      <vt:lpstr>Ou_Rist_Personalizzazione1_Sost</vt:lpstr>
      <vt:lpstr>Ou_Rist_Personalizzazione2</vt:lpstr>
      <vt:lpstr>Ou_Rist_Personalizzazione2_CompMet</vt:lpstr>
      <vt:lpstr>Ou_Rist_Personalizzazione2_CompMet_Sost</vt:lpstr>
      <vt:lpstr>Ou_Rist_Personalizzazione2_ParReale</vt:lpstr>
      <vt:lpstr>Ou_Rist_Personalizzazione2_ParReale_Sost</vt:lpstr>
      <vt:lpstr>Ou_Rist_Personalizzazione2_ParVirt</vt:lpstr>
      <vt:lpstr>Ou_Rist_Personalizzazione2_ParVirt_Sost</vt:lpstr>
      <vt:lpstr>Ou_Rist_Personalizzazione2_Sost</vt:lpstr>
      <vt:lpstr>Ou_Rist_Personalizzazione3</vt:lpstr>
      <vt:lpstr>Ou_Rist_Personalizzazione3_CompMet</vt:lpstr>
      <vt:lpstr>Ou_Rist_Personalizzazione3_CompMet_Sost</vt:lpstr>
      <vt:lpstr>Ou_Rist_Personalizzazione3_ParReale</vt:lpstr>
      <vt:lpstr>Ou_Rist_Personalizzazione3_ParReale_Sost</vt:lpstr>
      <vt:lpstr>Ou_Rist_Personalizzazione3_ParVirt</vt:lpstr>
      <vt:lpstr>Ou_Rist_Personalizzazione3_ParVirt_Sost</vt:lpstr>
      <vt:lpstr>Ou_Rist_Personalizzazione3_Sost</vt:lpstr>
      <vt:lpstr>Ou_Rist_Personalizzazione4</vt:lpstr>
      <vt:lpstr>Ou_Rist_Personalizzazione4_CompMet</vt:lpstr>
      <vt:lpstr>Ou_Rist_Personalizzazione4_CompMet_Sost</vt:lpstr>
      <vt:lpstr>Ou_Rist_Personalizzazione4_ParReale</vt:lpstr>
      <vt:lpstr>Ou_Rist_Personalizzazione4_ParReale_Sost</vt:lpstr>
      <vt:lpstr>Ou_Rist_Personalizzazione4_ParVirt</vt:lpstr>
      <vt:lpstr>Ou_Rist_Personalizzazione4_ParVirt_Sost</vt:lpstr>
      <vt:lpstr>Ou_Rist_Personalizzazione4_Sost</vt:lpstr>
      <vt:lpstr>Ou_Rist_Personalizzazione5</vt:lpstr>
      <vt:lpstr>Ou_Rist_Personalizzazione5_CompMet</vt:lpstr>
      <vt:lpstr>Ou_Rist_Personalizzazione5_CompMet_Sost</vt:lpstr>
      <vt:lpstr>Ou_Rist_Personalizzazione5_ParReale</vt:lpstr>
      <vt:lpstr>Ou_Rist_Personalizzazione5_ParReale_Sost</vt:lpstr>
      <vt:lpstr>Ou_Rist_Personalizzazione5_ParVirt</vt:lpstr>
      <vt:lpstr>Ou_Rist_Personalizzazione5_ParVirt_Sost</vt:lpstr>
      <vt:lpstr>Ou_Rist_Personalizzazione5_Sost</vt:lpstr>
      <vt:lpstr>Ou_Rist_Res</vt:lpstr>
      <vt:lpstr>Ou_Rist_Res_CompMet</vt:lpstr>
      <vt:lpstr>Ou_Rist_Res_CompMet_Sost</vt:lpstr>
      <vt:lpstr>'Costo Costruzione'!Ou_Rist_Res_ParReale</vt:lpstr>
      <vt:lpstr>'Costo costruzione statofatto'!Ou_Rist_Res_ParReale</vt:lpstr>
      <vt:lpstr>'Determinazione classe'!Ou_Rist_Res_ParReale</vt:lpstr>
      <vt:lpstr>Ou_Rist_Res_ParReale</vt:lpstr>
      <vt:lpstr>Ou_Rist_Res_ParReale_Sost</vt:lpstr>
      <vt:lpstr>Ou_Rist_Res_ParVirt</vt:lpstr>
      <vt:lpstr>Ou_Rist_Res_ParVirt_Sost</vt:lpstr>
      <vt:lpstr>Ou_Rist_Res_Sost</vt:lpstr>
      <vt:lpstr>Ou_SecDefiniti</vt:lpstr>
      <vt:lpstr>Ou_UsoIniziale_AttSpet_ParVirt</vt:lpstr>
      <vt:lpstr>Ou_UsoIniziale_AttSpor_ParVirt</vt:lpstr>
      <vt:lpstr>Ou_UsoIniziale_Com_ParVirt</vt:lpstr>
      <vt:lpstr>Ou_UsoIniziale_CultSan_ParVirt</vt:lpstr>
      <vt:lpstr>Ou_UsoIniziale_IndAlb_ParVirt</vt:lpstr>
      <vt:lpstr>Ou_UsoIniziale_IndArt_ParVirt</vt:lpstr>
      <vt:lpstr>Ou_UsoIniziale_ParSil_ParVirt</vt:lpstr>
      <vt:lpstr>Ou_UsoIniziale_Person1_ParVirt</vt:lpstr>
      <vt:lpstr>Ou_UsoIniziale_Person2_ParVirt</vt:lpstr>
      <vt:lpstr>Ou_UsoIniziale_Person3_ParVirt</vt:lpstr>
      <vt:lpstr>Ou_UsoIniziale_Person4_ParVirt</vt:lpstr>
      <vt:lpstr>Ou_UsoIniziale_Person5_ParVirt</vt:lpstr>
      <vt:lpstr>Ou_UsoIniziale_Res_ParVirt</vt:lpstr>
      <vt:lpstr>Par_PianoCasa_Rid</vt:lpstr>
      <vt:lpstr>Par_PianoCasa_RidCC</vt:lpstr>
      <vt:lpstr>Par_Rid_ConsumoSuolo</vt:lpstr>
      <vt:lpstr>Par_Rid_Densificazione_CC</vt:lpstr>
      <vt:lpstr>Par_Rid_Densificazione_Oneri</vt:lpstr>
      <vt:lpstr>Parametri_Aliquota_terziario_nuova_costr</vt:lpstr>
      <vt:lpstr>Parametri_Aliquota_terziario_ristrutt</vt:lpstr>
      <vt:lpstr>Parametri_Classi</vt:lpstr>
      <vt:lpstr>Parametri_ClassiSopr50000Ab</vt:lpstr>
      <vt:lpstr>Parametri_ColonnaDesinazione1</vt:lpstr>
      <vt:lpstr>Parametri_DestUsoPersonalizzazione1</vt:lpstr>
      <vt:lpstr>Parametri_DestUsoPersonalizzazione10</vt:lpstr>
      <vt:lpstr>Parametri_DestUsoPersonalizzazione11</vt:lpstr>
      <vt:lpstr>Parametri_DestUsoPersonalizzazione12</vt:lpstr>
      <vt:lpstr>Parametri_DestUsoPersonalizzazione13</vt:lpstr>
      <vt:lpstr>Parametri_DestUsoPersonalizzazione2</vt:lpstr>
      <vt:lpstr>Parametri_DestUsoPersonalizzazione3</vt:lpstr>
      <vt:lpstr>Parametri_DestUsoPersonalizzazione4</vt:lpstr>
      <vt:lpstr>Parametri_DestUsoPersonalizzazione5</vt:lpstr>
      <vt:lpstr>Parametri_DestUsoPersonalizzazione6</vt:lpstr>
      <vt:lpstr>Parametri_DestUsoPersonalizzazione7</vt:lpstr>
      <vt:lpstr>Parametri_DestUsoPersonalizzazione8</vt:lpstr>
      <vt:lpstr>Parametri_DestUsoPersonalizzazione9</vt:lpstr>
      <vt:lpstr>Parametri_ElencoPercRidConsumoSuolo</vt:lpstr>
      <vt:lpstr>Parametri_ElencoZoneMatrice</vt:lpstr>
      <vt:lpstr>Parametri_ElencoZoneMonetizzAreeStandDesc</vt:lpstr>
      <vt:lpstr>Parametri_ElencoZoneMonetizzParcheggiDesc</vt:lpstr>
      <vt:lpstr>Parametri_ElencoZoneParcheggiMatrice</vt:lpstr>
      <vt:lpstr>Parametri_ElencoZoneTerritorialiDesc</vt:lpstr>
      <vt:lpstr>Parametri_MaggiorazioneAreeAgric</vt:lpstr>
      <vt:lpstr>Parametri_MaggiorazioneSottotetti</vt:lpstr>
      <vt:lpstr>Parametri_MaggiorazioneSottotettiCC</vt:lpstr>
      <vt:lpstr>Parametri_MaxClassi</vt:lpstr>
      <vt:lpstr>Parametri_MaxClassiSopr50000Ab</vt:lpstr>
      <vt:lpstr>Parametri_MinClassi</vt:lpstr>
      <vt:lpstr>Parametri_MinClassiSopr50000Ab</vt:lpstr>
      <vt:lpstr>Parametri_MonetizzazioneAreeStand</vt:lpstr>
      <vt:lpstr>Parametri_MonetizzazioneParcheggi</vt:lpstr>
      <vt:lpstr>Parcheggio_Recupero_Sottotetti</vt:lpstr>
      <vt:lpstr>passo_descrizione_intervento</vt:lpstr>
      <vt:lpstr>PianoCasa</vt:lpstr>
      <vt:lpstr>Rateizzazione_1RataCC</vt:lpstr>
      <vt:lpstr>Rateizzazione_1RataOnPrim</vt:lpstr>
      <vt:lpstr>Rateizzazione_1RataOnSec</vt:lpstr>
      <vt:lpstr>Rateizzazione_1RataSR</vt:lpstr>
      <vt:lpstr>Rateizzazione_2RataCC</vt:lpstr>
      <vt:lpstr>Rateizzazione_2RataOnPrim</vt:lpstr>
      <vt:lpstr>Rateizzazione_2RataOnSec</vt:lpstr>
      <vt:lpstr>Rateizzazione_2RataSR</vt:lpstr>
      <vt:lpstr>Rateizzazione_3RataCC</vt:lpstr>
      <vt:lpstr>Rateizzazione_3RataOnPrim</vt:lpstr>
      <vt:lpstr>Rateizzazione_3RataOnSec</vt:lpstr>
      <vt:lpstr>Rateizzazione_3RataSR</vt:lpstr>
      <vt:lpstr>Rateizzazione_4RataCC</vt:lpstr>
      <vt:lpstr>Rateizzazione_4RataOnPrim</vt:lpstr>
      <vt:lpstr>Rateizzazione_4RataOnSec</vt:lpstr>
      <vt:lpstr>Rateizzazione_4RataSR</vt:lpstr>
      <vt:lpstr>Rateizzazione_DataProtocollo</vt:lpstr>
      <vt:lpstr>Rateizzazione_ImportoFidejussione</vt:lpstr>
      <vt:lpstr>Rateizzazione_InteresseLegale</vt:lpstr>
      <vt:lpstr>Rateizzazione_Sanzioni</vt:lpstr>
      <vt:lpstr>Rateizzazione_Scadenza1Rata</vt:lpstr>
      <vt:lpstr>Rateizzazione_Scadenza2Rata</vt:lpstr>
      <vt:lpstr>Rateizzazione_Scadenza3Rata</vt:lpstr>
      <vt:lpstr>Rateizzazione_Scadenza4Rata</vt:lpstr>
      <vt:lpstr>Rateizzazione_ScadenzaFidejussione</vt:lpstr>
      <vt:lpstr>Rateizzazione_Totale1Rata</vt:lpstr>
      <vt:lpstr>Rateizzazione_Totale2Rata</vt:lpstr>
      <vt:lpstr>Rateizzazione_Totale3Rata</vt:lpstr>
      <vt:lpstr>Rateizzazione_Totale4Rata</vt:lpstr>
      <vt:lpstr>Rateizzazione_TotaleRate</vt:lpstr>
      <vt:lpstr>Riep_DatiProg_EvSupSottRec</vt:lpstr>
      <vt:lpstr>Riep_DatiProg_SupComp_Nuova_CommTerz</vt:lpstr>
      <vt:lpstr>Riep_DatiProg_SupComp_Nuova_Res</vt:lpstr>
      <vt:lpstr>Riep_DatiProg_SupComp_RistrAmpl_CommTerz</vt:lpstr>
      <vt:lpstr>Riep_DatiProg_SupComp_RistrAmpl_Res</vt:lpstr>
      <vt:lpstr>Riepilogo_AltriCosti</vt:lpstr>
      <vt:lpstr>Riepilogo_CC_AltriCosti_ValoreMaggCostoCAreeAgr</vt:lpstr>
      <vt:lpstr>Riepilogo_Cc_OneriSmaltRifiutiRif</vt:lpstr>
      <vt:lpstr>Riepilogo_CC_RiduzioneDensificazione</vt:lpstr>
      <vt:lpstr>Riepilogo_CC_RiduzionePianoCasa</vt:lpstr>
      <vt:lpstr>Riepilogo_ContCostCompresaMagg</vt:lpstr>
      <vt:lpstr>Riepilogo_Contributo_costruzione</vt:lpstr>
      <vt:lpstr>Riepilogo_CostoCostEsclusoSott</vt:lpstr>
      <vt:lpstr>Riepilogo_CostoCostruzione</vt:lpstr>
      <vt:lpstr>Riepilogo_CostoCostruzione_StatoFattoProgetto</vt:lpstr>
      <vt:lpstr>Riepilogo_CostoCostruzione_totale</vt:lpstr>
      <vt:lpstr>Riepilogo_CostoCostSott</vt:lpstr>
      <vt:lpstr>Riepilogo_DirittiTecnici</vt:lpstr>
      <vt:lpstr>Riepilogo_MaggCostoCostConsumoSuolo</vt:lpstr>
      <vt:lpstr>Riepilogo_MaggCostoCostSott</vt:lpstr>
      <vt:lpstr>Riepilogo_MaggCostoStFattoCostConsumoSuolo</vt:lpstr>
      <vt:lpstr>Riepilogo_MaggOneriUrbPrimSott</vt:lpstr>
      <vt:lpstr>Riepilogo_MaggOneriUrbSecSott</vt:lpstr>
      <vt:lpstr>Riepilogo_MonetizzAreeStand</vt:lpstr>
      <vt:lpstr>Riepilogo_MonetizzParcheggi</vt:lpstr>
      <vt:lpstr>Riepilogo_Oblazione</vt:lpstr>
      <vt:lpstr>Riepilogo_Oneri_Urb_Prim_Corrisposti</vt:lpstr>
      <vt:lpstr>Riepilogo_Oneri_Urb_Prim_Scomputo</vt:lpstr>
      <vt:lpstr>Riepilogo_Oneri_Urb_Sec_Corrisposti</vt:lpstr>
      <vt:lpstr>Riepilogo_Oneri_Urb_Sec_Scomputo</vt:lpstr>
      <vt:lpstr>Riepilogo_OneriSecPrim</vt:lpstr>
      <vt:lpstr>Riepilogo_OneriSmaltRifiutiCambioUso</vt:lpstr>
      <vt:lpstr>Riepilogo_OneriSmaltRifiutiRif</vt:lpstr>
      <vt:lpstr>Riepilogo_OneriUrbanizzazione</vt:lpstr>
      <vt:lpstr>Riepilogo_OneriUrbPrim</vt:lpstr>
      <vt:lpstr>Riepilogo_OneriUrbPrimCambioUso</vt:lpstr>
      <vt:lpstr>Riepilogo_OneriUrbPrimEsclusoSott</vt:lpstr>
      <vt:lpstr>Riepilogo_OneriUrbPrimSott</vt:lpstr>
      <vt:lpstr>Riepilogo_OneriUrbSecCambioUso</vt:lpstr>
      <vt:lpstr>Riepilogo_OneriUrbSecEsclusoSott</vt:lpstr>
      <vt:lpstr>Riepilogo_OneriUrbSecSott</vt:lpstr>
      <vt:lpstr>Riepilogo_OnUrb_AltriCosti_ValoreMaggCostoCAreeAgr</vt:lpstr>
      <vt:lpstr>Riepilogo_OpereUrbPrimRealizzate</vt:lpstr>
      <vt:lpstr>Riepilogo_OpereUrbSecRealizzate</vt:lpstr>
      <vt:lpstr>Riepilogo_RiduDensificazioneOneriUrbPrim</vt:lpstr>
      <vt:lpstr>Riepilogo_RiduDensificazioneOneriUrbSec</vt:lpstr>
      <vt:lpstr>Riepilogo_RiduPianoCasaOneriUrbPrim</vt:lpstr>
      <vt:lpstr>Riepilogo_RiduPianoCasaOneriUrbSec</vt:lpstr>
      <vt:lpstr>Riepilogo_RiduRispEnerOup</vt:lpstr>
      <vt:lpstr>Riepilogo_RiduRispEnerOus</vt:lpstr>
      <vt:lpstr>Riepilogo_Sanzione</vt:lpstr>
      <vt:lpstr>Riepilogo_SmaltimRif_Corrisposti</vt:lpstr>
      <vt:lpstr>RiepilogoCostoCostruzione_StatoFattoProgetto_Corrisposto</vt:lpstr>
      <vt:lpstr>RiepilogoCostoCostruzione_StatoFattoProgetto_Densifcazione</vt:lpstr>
      <vt:lpstr>RiepilogoCostoCostruzione_StatoFattoProgetto_Dovuto</vt:lpstr>
      <vt:lpstr>RiepilogoCostoCostruzione_StatoFattoProgetto_PianoCasa</vt:lpstr>
      <vt:lpstr>RistruttEdil_IndusAlberg_CambioDest</vt:lpstr>
      <vt:lpstr>selezione_ampliamento</vt:lpstr>
      <vt:lpstr>selezione_cambio_uso</vt:lpstr>
      <vt:lpstr>selezione_nuova_costr_progetto</vt:lpstr>
      <vt:lpstr>selezione_nuova_costr_stato_fatto</vt:lpstr>
      <vt:lpstr>selezione_nuova_costruzione</vt:lpstr>
      <vt:lpstr>selezione_passo_descrizione_intervento</vt:lpstr>
      <vt:lpstr>selezione_ristrutturazione</vt:lpstr>
      <vt:lpstr>selezione_sottotetti</vt:lpstr>
      <vt:lpstr>smalt_rifiuti_dest_finale</vt:lpstr>
      <vt:lpstr>smalt_rifiuti_dest_iniziale</vt:lpstr>
      <vt:lpstr>SmaltimRif_Corrisposti</vt:lpstr>
      <vt:lpstr>Test</vt:lpstr>
      <vt:lpstr>Totale_alloggi_edificio</vt:lpstr>
      <vt:lpstr>Totale_snr_edificio</vt:lpstr>
      <vt:lpstr>Totale_sua_edificio</vt:lpstr>
      <vt:lpstr>'Costo Costruzione'!TotaleIncrementi</vt:lpstr>
      <vt:lpstr>'Costo costruzione statofatto'!TotaleIncrementi</vt:lpstr>
      <vt:lpstr>'Determinazione classe'!TotaleIncrementi</vt:lpstr>
      <vt:lpstr>TotaleIncrementi</vt:lpstr>
      <vt:lpstr>UIrecuperate</vt:lpstr>
      <vt:lpstr>Volume_Recupero_Sottotetti</vt:lpstr>
      <vt:lpstr>Zona1</vt:lpstr>
      <vt:lpstr>Zona10</vt:lpstr>
      <vt:lpstr>Zona11</vt:lpstr>
      <vt:lpstr>Zona12</vt:lpstr>
      <vt:lpstr>Zona13</vt:lpstr>
      <vt:lpstr>Zona14</vt:lpstr>
      <vt:lpstr>Zona15</vt:lpstr>
      <vt:lpstr>Zona2</vt:lpstr>
      <vt:lpstr>Zona3</vt:lpstr>
      <vt:lpstr>Zona4</vt:lpstr>
      <vt:lpstr>Zona5</vt:lpstr>
      <vt:lpstr>Zona6</vt:lpstr>
      <vt:lpstr>Zona7</vt:lpstr>
      <vt:lpstr>Zona8</vt:lpstr>
      <vt:lpstr>Zona9</vt:lpstr>
      <vt:lpstr>ZonaMonetizzazioneAreeStand</vt:lpstr>
      <vt:lpstr>ZonaMonetizzazioneAreeStand_Valore</vt:lpstr>
      <vt:lpstr>ZonaMonetizzazioneParcheg</vt:lpstr>
      <vt:lpstr>ZonaMonetizzazioneParcheggi_Valore</vt:lpstr>
      <vt:lpstr>ZonaTerritoriale</vt:lpstr>
    </vt:vector>
  </TitlesOfParts>
  <Company>Comune di Bergamo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Calcolo oneri</dc:subject>
  <dc:creator>Globo</dc:creator>
  <dc:description>Versione del 28/10/2010
Parametri di calcolo 2010</dc:description>
  <cp:lastModifiedBy>Massimo Solimbergo</cp:lastModifiedBy>
  <cp:lastPrinted>2017-12-12T13:18:54Z</cp:lastPrinted>
  <dcterms:created xsi:type="dcterms:W3CDTF">2009-09-03T10:46:29Z</dcterms:created>
  <dcterms:modified xsi:type="dcterms:W3CDTF">2020-12-17T12:05:55Z</dcterms:modified>
</cp:coreProperties>
</file>